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tabRatio="905"/>
  </bookViews>
  <sheets>
    <sheet name="калькуляция 2021" sheetId="55" r:id="rId1"/>
    <sheet name="калькуляция 01.10.21-31.12.21" sheetId="54" r:id="rId2"/>
    <sheet name="тариф с 01.01.2021" sheetId="51" r:id="rId3"/>
    <sheet name="калькуляция 01.01.21-30.09.21" sheetId="53" r:id="rId4"/>
    <sheet name="калькуляция 2020 " sheetId="50" r:id="rId5"/>
    <sheet name="калькуляция 2019" sheetId="52" r:id="rId6"/>
    <sheet name="тариф 20-19" sheetId="34" r:id="rId7"/>
    <sheet name="ТХ МКД" sheetId="48" r:id="rId8"/>
  </sheets>
  <definedNames>
    <definedName name="ВИДЫ_МУП" localSheetId="3">#REF!</definedName>
    <definedName name="ВИДЫ_МУП" localSheetId="1">#REF!</definedName>
    <definedName name="ВИДЫ_МУП" localSheetId="5">#REF!</definedName>
    <definedName name="ВИДЫ_МУП" localSheetId="4">#REF!</definedName>
    <definedName name="ВИДЫ_МУП" localSheetId="0">#REF!</definedName>
    <definedName name="ВИДЫ_МУП">#REF!</definedName>
    <definedName name="_xlnm.Print_Area" localSheetId="3">'калькуляция 01.01.21-30.09.21'!$A$1:$H$124</definedName>
    <definedName name="_xlnm.Print_Area" localSheetId="1">'калькуляция 01.10.21-31.12.21'!$A$1:$H$124</definedName>
    <definedName name="_xlnm.Print_Area" localSheetId="5">'калькуляция 2019'!$A$1:$H$125</definedName>
    <definedName name="_xlnm.Print_Area" localSheetId="4">'калькуляция 2020 '!$A$1:$H$124</definedName>
    <definedName name="_xlnm.Print_Area" localSheetId="0">'калькуляция 2021'!$A$1:$H$127</definedName>
    <definedName name="Резервный_фонд" localSheetId="3">#REF!</definedName>
    <definedName name="Резервный_фонд" localSheetId="1">#REF!</definedName>
    <definedName name="Резервный_фонд" localSheetId="5">#REF!</definedName>
    <definedName name="Резервный_фонд" localSheetId="4">#REF!</definedName>
    <definedName name="Резервный_фонд" localSheetId="0">#REF!</definedName>
    <definedName name="Резервный_фонд">#REF!</definedName>
    <definedName name="Система_налогообложения" localSheetId="3">#REF!</definedName>
    <definedName name="Система_налогообложения" localSheetId="1">#REF!</definedName>
    <definedName name="Система_налогообложения" localSheetId="5">#REF!</definedName>
    <definedName name="Система_налогообложения" localSheetId="4">#REF!</definedName>
    <definedName name="Система_налогообложения" localSheetId="0">#REF!</definedName>
    <definedName name="Система_налогообложения">#REF!</definedName>
    <definedName name="Ставка" localSheetId="3">#REF!</definedName>
    <definedName name="Ставка" localSheetId="1">#REF!</definedName>
    <definedName name="Ставка" localSheetId="5">#REF!</definedName>
    <definedName name="Ставка" localSheetId="4">#REF!</definedName>
    <definedName name="Ставка" localSheetId="0">#REF!</definedName>
    <definedName name="Ставка">#REF!</definedName>
  </definedNames>
  <calcPr calcId="144525" refMode="R1C1"/>
</workbook>
</file>

<file path=xl/calcChain.xml><?xml version="1.0" encoding="utf-8"?>
<calcChain xmlns="http://schemas.openxmlformats.org/spreadsheetml/2006/main">
  <c r="D85" i="55" l="1"/>
  <c r="D35" i="55"/>
  <c r="D57" i="55"/>
  <c r="D63" i="55"/>
  <c r="D78" i="55"/>
  <c r="C120" i="55" l="1"/>
  <c r="C117" i="55"/>
  <c r="C118" i="55"/>
  <c r="C85" i="55"/>
  <c r="C84" i="55"/>
  <c r="C79" i="55"/>
  <c r="C77" i="55"/>
  <c r="C78" i="55"/>
  <c r="C73" i="55"/>
  <c r="C74" i="55"/>
  <c r="C75" i="55"/>
  <c r="C76" i="55"/>
  <c r="C72" i="55"/>
  <c r="C67" i="55"/>
  <c r="C68" i="55"/>
  <c r="C69" i="55"/>
  <c r="C70" i="55"/>
  <c r="C66" i="55"/>
  <c r="D117" i="55"/>
  <c r="B117" i="55"/>
  <c r="C63" i="55"/>
  <c r="C62" i="55" s="1"/>
  <c r="C59" i="55"/>
  <c r="C58" i="55" s="1"/>
  <c r="C57" i="55"/>
  <c r="C56" i="55" s="1"/>
  <c r="C51" i="55"/>
  <c r="C46" i="55"/>
  <c r="C41" i="55"/>
  <c r="C36" i="55"/>
  <c r="C30" i="55"/>
  <c r="C25" i="55"/>
  <c r="C20" i="55"/>
  <c r="C15" i="55"/>
  <c r="G34" i="55"/>
  <c r="C10" i="55"/>
  <c r="D10" i="55" l="1"/>
  <c r="E10" i="55" s="1"/>
  <c r="D121" i="55"/>
  <c r="D115" i="55" s="1"/>
  <c r="C121" i="55"/>
  <c r="B121" i="55"/>
  <c r="D116" i="55"/>
  <c r="D114" i="55"/>
  <c r="D112" i="55"/>
  <c r="D110" i="55"/>
  <c r="D108" i="55"/>
  <c r="D106" i="55"/>
  <c r="D105" i="55"/>
  <c r="D104" i="55"/>
  <c r="D103" i="55"/>
  <c r="D102" i="55"/>
  <c r="D101" i="55"/>
  <c r="D100" i="55"/>
  <c r="D99" i="55"/>
  <c r="D98" i="55"/>
  <c r="D96" i="55"/>
  <c r="D95" i="55"/>
  <c r="D94" i="55"/>
  <c r="D93" i="55"/>
  <c r="D92" i="55"/>
  <c r="D91" i="55"/>
  <c r="D90" i="55"/>
  <c r="D89" i="55"/>
  <c r="D88" i="55"/>
  <c r="D87" i="55"/>
  <c r="D86" i="55"/>
  <c r="B85" i="55"/>
  <c r="B84" i="55"/>
  <c r="E84" i="55" s="1"/>
  <c r="C83" i="55"/>
  <c r="C82" i="55"/>
  <c r="C81" i="55"/>
  <c r="C80" i="55"/>
  <c r="E79" i="55"/>
  <c r="D77" i="55"/>
  <c r="G74" i="55"/>
  <c r="G75" i="55" s="1"/>
  <c r="F73" i="55" s="1"/>
  <c r="D72" i="55"/>
  <c r="C71" i="55"/>
  <c r="G68" i="55"/>
  <c r="G69" i="55" s="1"/>
  <c r="F67" i="55" s="1"/>
  <c r="C65" i="55"/>
  <c r="E65" i="55" s="1"/>
  <c r="D64" i="55"/>
  <c r="F62" i="55"/>
  <c r="D62" i="55"/>
  <c r="E61" i="55"/>
  <c r="C61" i="55"/>
  <c r="E60" i="55"/>
  <c r="F58" i="55"/>
  <c r="D58" i="55"/>
  <c r="F56" i="55"/>
  <c r="D56" i="55"/>
  <c r="G53" i="55"/>
  <c r="B51" i="55"/>
  <c r="E51" i="55" s="1"/>
  <c r="G48" i="55"/>
  <c r="G49" i="55" s="1"/>
  <c r="B46" i="55"/>
  <c r="E46" i="55" s="1"/>
  <c r="G43" i="55"/>
  <c r="G45" i="55" s="1"/>
  <c r="B41" i="55"/>
  <c r="H38" i="55"/>
  <c r="G38" i="55"/>
  <c r="B36" i="55"/>
  <c r="G32" i="55"/>
  <c r="G33" i="55" s="1"/>
  <c r="D30" i="55"/>
  <c r="G28" i="55"/>
  <c r="G27" i="55"/>
  <c r="D25" i="55"/>
  <c r="G22" i="55"/>
  <c r="D20" i="55"/>
  <c r="E20" i="55" s="1"/>
  <c r="I17" i="55"/>
  <c r="I19" i="55" s="1"/>
  <c r="H17" i="55"/>
  <c r="H19" i="55" s="1"/>
  <c r="G17" i="55"/>
  <c r="D15" i="55"/>
  <c r="D9" i="55" s="1"/>
  <c r="D120" i="55" s="1"/>
  <c r="H12" i="55"/>
  <c r="G12" i="55"/>
  <c r="B4" i="55"/>
  <c r="E15" i="55" l="1"/>
  <c r="D97" i="55"/>
  <c r="G13" i="55"/>
  <c r="G14" i="55"/>
  <c r="H18" i="55"/>
  <c r="H13" i="55"/>
  <c r="H14" i="55"/>
  <c r="G18" i="55"/>
  <c r="G19" i="55"/>
  <c r="G23" i="55"/>
  <c r="G24" i="55"/>
  <c r="H39" i="55"/>
  <c r="H40" i="55"/>
  <c r="G44" i="55"/>
  <c r="G54" i="55"/>
  <c r="G55" i="55"/>
  <c r="G39" i="55"/>
  <c r="G40" i="55"/>
  <c r="E41" i="55"/>
  <c r="E30" i="55"/>
  <c r="E25" i="55"/>
  <c r="B9" i="55"/>
  <c r="F74" i="55"/>
  <c r="E56" i="55"/>
  <c r="F68" i="55"/>
  <c r="E58" i="55"/>
  <c r="E62" i="55"/>
  <c r="E77" i="55"/>
  <c r="D107" i="55"/>
  <c r="D109" i="55"/>
  <c r="D111" i="55"/>
  <c r="D113" i="55"/>
  <c r="C119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10" i="54"/>
  <c r="E85" i="55" l="1"/>
  <c r="C35" i="55"/>
  <c r="E36" i="55"/>
  <c r="C9" i="55"/>
  <c r="E9" i="55" s="1"/>
  <c r="B35" i="55"/>
  <c r="F118" i="54"/>
  <c r="F117" i="54"/>
  <c r="B75" i="53"/>
  <c r="C75" i="53" s="1"/>
  <c r="F73" i="53"/>
  <c r="C85" i="53"/>
  <c r="B85" i="53"/>
  <c r="B84" i="53"/>
  <c r="C84" i="53" s="1"/>
  <c r="E84" i="53" s="1"/>
  <c r="F85" i="53"/>
  <c r="F84" i="53"/>
  <c r="C66" i="53"/>
  <c r="C67" i="53"/>
  <c r="C68" i="53"/>
  <c r="C69" i="53"/>
  <c r="C70" i="53"/>
  <c r="C71" i="53"/>
  <c r="C76" i="53"/>
  <c r="C77" i="53"/>
  <c r="C78" i="53"/>
  <c r="C79" i="53"/>
  <c r="C80" i="53"/>
  <c r="C81" i="53"/>
  <c r="C82" i="53"/>
  <c r="C83" i="53"/>
  <c r="C65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E62" i="53" s="1"/>
  <c r="C63" i="53"/>
  <c r="C36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E30" i="53" s="1"/>
  <c r="C31" i="53"/>
  <c r="C32" i="53"/>
  <c r="C33" i="53"/>
  <c r="C34" i="53"/>
  <c r="C10" i="53"/>
  <c r="B85" i="54"/>
  <c r="F85" i="54"/>
  <c r="F84" i="54"/>
  <c r="B84" i="54" s="1"/>
  <c r="E84" i="54" s="1"/>
  <c r="F79" i="54"/>
  <c r="F77" i="54"/>
  <c r="F72" i="54"/>
  <c r="F66" i="54"/>
  <c r="D118" i="54"/>
  <c r="C118" i="54"/>
  <c r="B118" i="54"/>
  <c r="E20" i="54"/>
  <c r="F35" i="54"/>
  <c r="F62" i="54"/>
  <c r="F58" i="54"/>
  <c r="B59" i="54" s="1"/>
  <c r="F56" i="54"/>
  <c r="F52" i="54"/>
  <c r="F51" i="54"/>
  <c r="F46" i="54"/>
  <c r="F42" i="54"/>
  <c r="F41" i="54"/>
  <c r="F36" i="54"/>
  <c r="F30" i="54"/>
  <c r="F25" i="54"/>
  <c r="F20" i="54"/>
  <c r="F15" i="54"/>
  <c r="F21" i="54"/>
  <c r="F11" i="54"/>
  <c r="F10" i="54"/>
  <c r="D116" i="54"/>
  <c r="D115" i="54"/>
  <c r="D114" i="54"/>
  <c r="D113" i="54"/>
  <c r="D112" i="54"/>
  <c r="D111" i="54"/>
  <c r="D110" i="54"/>
  <c r="D109" i="54"/>
  <c r="D108" i="54"/>
  <c r="D107" i="54"/>
  <c r="D106" i="54"/>
  <c r="D105" i="54"/>
  <c r="D104" i="54"/>
  <c r="D103" i="54"/>
  <c r="D102" i="54"/>
  <c r="D101" i="54"/>
  <c r="D100" i="54"/>
  <c r="D99" i="54"/>
  <c r="D98" i="54"/>
  <c r="D97" i="54" s="1"/>
  <c r="D96" i="54"/>
  <c r="D95" i="54"/>
  <c r="D94" i="54"/>
  <c r="D93" i="54"/>
  <c r="D92" i="54"/>
  <c r="D91" i="54"/>
  <c r="D90" i="54"/>
  <c r="D89" i="54"/>
  <c r="D88" i="54"/>
  <c r="D87" i="54"/>
  <c r="D86" i="54"/>
  <c r="D79" i="54"/>
  <c r="B79" i="54"/>
  <c r="B78" i="54"/>
  <c r="D77" i="54"/>
  <c r="G74" i="54"/>
  <c r="G75" i="54" s="1"/>
  <c r="F73" i="54" s="1"/>
  <c r="D72" i="54"/>
  <c r="G68" i="54"/>
  <c r="G69" i="54" s="1"/>
  <c r="F67" i="54" s="1"/>
  <c r="D66" i="54"/>
  <c r="E65" i="54"/>
  <c r="D64" i="54"/>
  <c r="B63" i="54"/>
  <c r="D62" i="54"/>
  <c r="B62" i="54"/>
  <c r="E62" i="54" s="1"/>
  <c r="E61" i="54"/>
  <c r="B60" i="54"/>
  <c r="E60" i="54" s="1"/>
  <c r="D58" i="54"/>
  <c r="B57" i="54"/>
  <c r="D56" i="54"/>
  <c r="G53" i="54"/>
  <c r="G54" i="54" s="1"/>
  <c r="G55" i="54" s="1"/>
  <c r="F53" i="54" s="1"/>
  <c r="F54" i="54"/>
  <c r="D51" i="54"/>
  <c r="B51" i="54"/>
  <c r="E51" i="54" s="1"/>
  <c r="G48" i="54"/>
  <c r="G49" i="54" s="1"/>
  <c r="F47" i="54" s="1"/>
  <c r="F48" i="54" s="1"/>
  <c r="D46" i="54"/>
  <c r="E46" i="54"/>
  <c r="B46" i="54"/>
  <c r="G43" i="54"/>
  <c r="G44" i="54" s="1"/>
  <c r="G45" i="54" s="1"/>
  <c r="F43" i="54" s="1"/>
  <c r="F44" i="54" s="1"/>
  <c r="D41" i="54"/>
  <c r="B41" i="54"/>
  <c r="E41" i="54" s="1"/>
  <c r="H38" i="54"/>
  <c r="H39" i="54" s="1"/>
  <c r="H40" i="54" s="1"/>
  <c r="G38" i="54"/>
  <c r="G39" i="54" s="1"/>
  <c r="G40" i="54" s="1"/>
  <c r="F37" i="54" s="1"/>
  <c r="F38" i="54" s="1"/>
  <c r="D36" i="54"/>
  <c r="D35" i="54" s="1"/>
  <c r="B36" i="54"/>
  <c r="G32" i="54"/>
  <c r="G33" i="54" s="1"/>
  <c r="G34" i="54" s="1"/>
  <c r="F31" i="54" s="1"/>
  <c r="F32" i="54" s="1"/>
  <c r="F33" i="54"/>
  <c r="D30" i="54"/>
  <c r="B30" i="54"/>
  <c r="G27" i="54"/>
  <c r="G28" i="54" s="1"/>
  <c r="F26" i="54" s="1"/>
  <c r="F27" i="54" s="1"/>
  <c r="F28" i="54"/>
  <c r="D25" i="54"/>
  <c r="B25" i="54"/>
  <c r="E25" i="54" s="1"/>
  <c r="G22" i="54"/>
  <c r="G23" i="54" s="1"/>
  <c r="G24" i="54" s="1"/>
  <c r="F22" i="54" s="1"/>
  <c r="F23" i="54"/>
  <c r="D20" i="54"/>
  <c r="B20" i="54"/>
  <c r="I19" i="54"/>
  <c r="I17" i="54"/>
  <c r="H17" i="54"/>
  <c r="H18" i="54" s="1"/>
  <c r="H19" i="54" s="1"/>
  <c r="G17" i="54"/>
  <c r="G18" i="54" s="1"/>
  <c r="G19" i="54" s="1"/>
  <c r="D15" i="54"/>
  <c r="E15" i="54"/>
  <c r="B15" i="54"/>
  <c r="H12" i="54"/>
  <c r="H13" i="54" s="1"/>
  <c r="H14" i="54" s="1"/>
  <c r="G12" i="54"/>
  <c r="G13" i="54" s="1"/>
  <c r="G14" i="54" s="1"/>
  <c r="D10" i="54"/>
  <c r="E10" i="54"/>
  <c r="B10" i="54"/>
  <c r="D9" i="54"/>
  <c r="B4" i="54"/>
  <c r="G68" i="53"/>
  <c r="G69" i="53" s="1"/>
  <c r="F67" i="53" s="1"/>
  <c r="F54" i="53"/>
  <c r="F52" i="53"/>
  <c r="F42" i="53"/>
  <c r="D118" i="53"/>
  <c r="C118" i="53"/>
  <c r="B118" i="53"/>
  <c r="D116" i="53"/>
  <c r="D115" i="53"/>
  <c r="D114" i="53"/>
  <c r="D113" i="53"/>
  <c r="D112" i="53"/>
  <c r="D111" i="53"/>
  <c r="D110" i="53"/>
  <c r="D109" i="53"/>
  <c r="D108" i="53"/>
  <c r="D107" i="53"/>
  <c r="D106" i="53"/>
  <c r="D105" i="53"/>
  <c r="D104" i="53"/>
  <c r="D103" i="53"/>
  <c r="D102" i="53"/>
  <c r="D101" i="53"/>
  <c r="D100" i="53"/>
  <c r="D99" i="53"/>
  <c r="D98" i="53"/>
  <c r="D97" i="53"/>
  <c r="D96" i="53"/>
  <c r="D95" i="53"/>
  <c r="D94" i="53"/>
  <c r="D93" i="53"/>
  <c r="D92" i="53"/>
  <c r="D91" i="53"/>
  <c r="D90" i="53"/>
  <c r="D89" i="53"/>
  <c r="D88" i="53"/>
  <c r="D87" i="53"/>
  <c r="D86" i="53"/>
  <c r="D85" i="53" s="1"/>
  <c r="F79" i="53"/>
  <c r="D79" i="53"/>
  <c r="B79" i="53"/>
  <c r="E79" i="53" s="1"/>
  <c r="B78" i="53"/>
  <c r="F77" i="53"/>
  <c r="D77" i="53"/>
  <c r="G74" i="53"/>
  <c r="G75" i="53" s="1"/>
  <c r="F72" i="53"/>
  <c r="D72" i="53"/>
  <c r="F66" i="53"/>
  <c r="D66" i="53"/>
  <c r="E65" i="53"/>
  <c r="D64" i="53"/>
  <c r="B63" i="53"/>
  <c r="F62" i="53"/>
  <c r="D62" i="53"/>
  <c r="B62" i="53"/>
  <c r="E61" i="53"/>
  <c r="B60" i="53"/>
  <c r="E60" i="53" s="1"/>
  <c r="B59" i="53"/>
  <c r="F58" i="53"/>
  <c r="D58" i="53"/>
  <c r="B58" i="53"/>
  <c r="E58" i="53" s="1"/>
  <c r="F56" i="53"/>
  <c r="B57" i="53" s="1"/>
  <c r="D56" i="53"/>
  <c r="G53" i="53"/>
  <c r="G54" i="53" s="1"/>
  <c r="G55" i="53" s="1"/>
  <c r="F51" i="53"/>
  <c r="D51" i="53"/>
  <c r="B51" i="53"/>
  <c r="E51" i="53" s="1"/>
  <c r="G48" i="53"/>
  <c r="G49" i="53" s="1"/>
  <c r="F47" i="53" s="1"/>
  <c r="F48" i="53" s="1"/>
  <c r="F46" i="53"/>
  <c r="D46" i="53"/>
  <c r="B46" i="53"/>
  <c r="E46" i="53" s="1"/>
  <c r="G43" i="53"/>
  <c r="G44" i="53" s="1"/>
  <c r="G45" i="53" s="1"/>
  <c r="F43" i="53" s="1"/>
  <c r="F41" i="53"/>
  <c r="D41" i="53"/>
  <c r="E41" i="53"/>
  <c r="B41" i="53"/>
  <c r="H38" i="53"/>
  <c r="H39" i="53" s="1"/>
  <c r="H40" i="53" s="1"/>
  <c r="G38" i="53"/>
  <c r="G39" i="53" s="1"/>
  <c r="G40" i="53" s="1"/>
  <c r="F36" i="53"/>
  <c r="D36" i="53"/>
  <c r="B36" i="53"/>
  <c r="F35" i="53"/>
  <c r="D35" i="53"/>
  <c r="G32" i="53"/>
  <c r="G33" i="53" s="1"/>
  <c r="G34" i="53" s="1"/>
  <c r="F31" i="53" s="1"/>
  <c r="F32" i="53" s="1"/>
  <c r="F30" i="53"/>
  <c r="D30" i="53"/>
  <c r="B30" i="53"/>
  <c r="G27" i="53"/>
  <c r="G28" i="53" s="1"/>
  <c r="F26" i="53" s="1"/>
  <c r="F25" i="53"/>
  <c r="D25" i="53"/>
  <c r="E25" i="53"/>
  <c r="B25" i="53"/>
  <c r="G23" i="53"/>
  <c r="G24" i="53" s="1"/>
  <c r="F21" i="53" s="1"/>
  <c r="F22" i="53" s="1"/>
  <c r="G22" i="53"/>
  <c r="F20" i="53"/>
  <c r="D20" i="53"/>
  <c r="B20" i="53"/>
  <c r="E20" i="53" s="1"/>
  <c r="I19" i="53"/>
  <c r="I17" i="53"/>
  <c r="H17" i="53"/>
  <c r="H18" i="53" s="1"/>
  <c r="H19" i="53" s="1"/>
  <c r="G17" i="53"/>
  <c r="G18" i="53" s="1"/>
  <c r="G19" i="53" s="1"/>
  <c r="F15" i="53"/>
  <c r="D15" i="53"/>
  <c r="B15" i="53"/>
  <c r="E15" i="53" s="1"/>
  <c r="H12" i="53"/>
  <c r="H13" i="53" s="1"/>
  <c r="H14" i="53" s="1"/>
  <c r="G12" i="53"/>
  <c r="G13" i="53" s="1"/>
  <c r="G14" i="53" s="1"/>
  <c r="F10" i="53"/>
  <c r="D10" i="53"/>
  <c r="D9" i="53" s="1"/>
  <c r="B10" i="53"/>
  <c r="F9" i="53"/>
  <c r="B4" i="53"/>
  <c r="C28" i="51"/>
  <c r="D28" i="51" s="1"/>
  <c r="C27" i="51"/>
  <c r="C26" i="51"/>
  <c r="C25" i="51"/>
  <c r="C24" i="51"/>
  <c r="C23" i="51"/>
  <c r="D23" i="51" s="1"/>
  <c r="C22" i="51"/>
  <c r="C21" i="51"/>
  <c r="C17" i="51"/>
  <c r="D17" i="51" s="1"/>
  <c r="C15" i="51"/>
  <c r="D15" i="51" s="1"/>
  <c r="C14" i="51"/>
  <c r="D14" i="51" s="1"/>
  <c r="C13" i="51"/>
  <c r="C12" i="51"/>
  <c r="D12" i="51" s="1"/>
  <c r="C11" i="51"/>
  <c r="C10" i="51"/>
  <c r="D10" i="51" s="1"/>
  <c r="C8" i="51"/>
  <c r="D8" i="51" s="1"/>
  <c r="C7" i="51"/>
  <c r="D7" i="51" s="1"/>
  <c r="C6" i="51"/>
  <c r="D6" i="51" s="1"/>
  <c r="C5" i="51"/>
  <c r="C4" i="51"/>
  <c r="D5" i="51"/>
  <c r="D11" i="51"/>
  <c r="D13" i="51"/>
  <c r="D21" i="51"/>
  <c r="D22" i="51"/>
  <c r="D24" i="51"/>
  <c r="D25" i="51"/>
  <c r="D26" i="51"/>
  <c r="D27" i="51"/>
  <c r="D4" i="51"/>
  <c r="C9" i="51"/>
  <c r="C3" i="51"/>
  <c r="B32" i="51"/>
  <c r="B20" i="51"/>
  <c r="B9" i="51"/>
  <c r="B3" i="51"/>
  <c r="B2" i="51"/>
  <c r="D33" i="48"/>
  <c r="D29" i="48"/>
  <c r="D25" i="48"/>
  <c r="D23" i="48" s="1"/>
  <c r="D19" i="48"/>
  <c r="D13" i="48"/>
  <c r="D10" i="48"/>
  <c r="D6" i="48"/>
  <c r="E35" i="55" l="1"/>
  <c r="E79" i="54"/>
  <c r="E30" i="54"/>
  <c r="B58" i="54"/>
  <c r="E58" i="54" s="1"/>
  <c r="B9" i="54"/>
  <c r="F9" i="54"/>
  <c r="F74" i="54"/>
  <c r="B73" i="54"/>
  <c r="F12" i="54"/>
  <c r="F16" i="54"/>
  <c r="F17" i="54" s="1"/>
  <c r="E36" i="54"/>
  <c r="F39" i="54"/>
  <c r="F49" i="54"/>
  <c r="B56" i="54"/>
  <c r="E56" i="54" s="1"/>
  <c r="F68" i="54"/>
  <c r="B68" i="54" s="1"/>
  <c r="B67" i="54"/>
  <c r="F75" i="54"/>
  <c r="D85" i="54"/>
  <c r="D117" i="54" s="1"/>
  <c r="D119" i="54" s="1"/>
  <c r="C9" i="54"/>
  <c r="E9" i="54" s="1"/>
  <c r="B35" i="54"/>
  <c r="B77" i="54"/>
  <c r="E85" i="54"/>
  <c r="F53" i="53"/>
  <c r="F37" i="53"/>
  <c r="F38" i="53" s="1"/>
  <c r="F23" i="53"/>
  <c r="F16" i="53"/>
  <c r="F17" i="53" s="1"/>
  <c r="C9" i="53"/>
  <c r="E9" i="53" s="1"/>
  <c r="E10" i="53"/>
  <c r="B56" i="53"/>
  <c r="F68" i="53"/>
  <c r="B68" i="53" s="1"/>
  <c r="B67" i="53"/>
  <c r="E85" i="53"/>
  <c r="D117" i="53"/>
  <c r="D119" i="53" s="1"/>
  <c r="F11" i="53"/>
  <c r="F12" i="53" s="1"/>
  <c r="F18" i="53"/>
  <c r="F27" i="53"/>
  <c r="F28" i="53" s="1"/>
  <c r="F33" i="53"/>
  <c r="E36" i="53"/>
  <c r="F39" i="53"/>
  <c r="F44" i="53"/>
  <c r="F49" i="53"/>
  <c r="F69" i="53"/>
  <c r="B69" i="53" s="1"/>
  <c r="F74" i="53"/>
  <c r="F75" i="53" s="1"/>
  <c r="B73" i="53"/>
  <c r="C73" i="53" s="1"/>
  <c r="B9" i="53"/>
  <c r="B77" i="53"/>
  <c r="E77" i="53" s="1"/>
  <c r="C20" i="51"/>
  <c r="D20" i="51"/>
  <c r="D9" i="51"/>
  <c r="D3" i="51"/>
  <c r="C32" i="51"/>
  <c r="E72" i="55" l="1"/>
  <c r="E77" i="54"/>
  <c r="F18" i="54"/>
  <c r="E35" i="54"/>
  <c r="B74" i="54"/>
  <c r="F69" i="54"/>
  <c r="B69" i="54" s="1"/>
  <c r="F13" i="54"/>
  <c r="B74" i="53"/>
  <c r="C74" i="53" s="1"/>
  <c r="B66" i="53"/>
  <c r="B35" i="53"/>
  <c r="F13" i="53"/>
  <c r="D32" i="51"/>
  <c r="E66" i="55" l="1"/>
  <c r="C64" i="55"/>
  <c r="B64" i="55"/>
  <c r="B66" i="54"/>
  <c r="B75" i="54"/>
  <c r="E56" i="53"/>
  <c r="C35" i="53"/>
  <c r="E35" i="53" s="1"/>
  <c r="B122" i="55" l="1"/>
  <c r="B72" i="54"/>
  <c r="B64" i="54" s="1"/>
  <c r="B117" i="54" s="1"/>
  <c r="B119" i="54" s="1"/>
  <c r="B72" i="53"/>
  <c r="C72" i="53" s="1"/>
  <c r="E66" i="53"/>
  <c r="E64" i="55" l="1"/>
  <c r="C122" i="55"/>
  <c r="E72" i="54"/>
  <c r="E66" i="54"/>
  <c r="B64" i="53"/>
  <c r="B117" i="53" s="1"/>
  <c r="B119" i="53" s="1"/>
  <c r="E120" i="55" l="1"/>
  <c r="E64" i="54"/>
  <c r="C117" i="54"/>
  <c r="E72" i="53"/>
  <c r="C64" i="53"/>
  <c r="E117" i="54" l="1"/>
  <c r="E64" i="53"/>
  <c r="C117" i="53"/>
  <c r="C119" i="53" s="1"/>
  <c r="E117" i="53" l="1"/>
  <c r="C119" i="50" l="1"/>
  <c r="F85" i="50"/>
  <c r="B68" i="50"/>
  <c r="B69" i="50"/>
  <c r="B67" i="50"/>
  <c r="F52" i="50"/>
  <c r="F42" i="50"/>
  <c r="F21" i="50"/>
  <c r="F11" i="50"/>
  <c r="G74" i="50" l="1"/>
  <c r="G75" i="50" s="1"/>
  <c r="G68" i="50"/>
  <c r="G69" i="50" s="1"/>
  <c r="G54" i="50"/>
  <c r="G55" i="50" s="1"/>
  <c r="G53" i="50"/>
  <c r="G49" i="50"/>
  <c r="G48" i="50"/>
  <c r="G43" i="50"/>
  <c r="G44" i="50" s="1"/>
  <c r="G45" i="50" s="1"/>
  <c r="H38" i="50"/>
  <c r="H39" i="50" s="1"/>
  <c r="H40" i="50" s="1"/>
  <c r="G38" i="50"/>
  <c r="G39" i="50" s="1"/>
  <c r="G40" i="50" s="1"/>
  <c r="G33" i="50"/>
  <c r="G34" i="50" s="1"/>
  <c r="G32" i="50"/>
  <c r="G28" i="50"/>
  <c r="G27" i="50"/>
  <c r="G22" i="50"/>
  <c r="G23" i="50" s="1"/>
  <c r="G24" i="50" s="1"/>
  <c r="I19" i="50"/>
  <c r="I17" i="50"/>
  <c r="H17" i="50"/>
  <c r="H18" i="50" s="1"/>
  <c r="H19" i="50" s="1"/>
  <c r="G17" i="50"/>
  <c r="G18" i="50" s="1"/>
  <c r="G19" i="50" s="1"/>
  <c r="H12" i="50"/>
  <c r="H13" i="50" s="1"/>
  <c r="H14" i="50" s="1"/>
  <c r="G12" i="50"/>
  <c r="G13" i="50" s="1"/>
  <c r="G14" i="50" s="1"/>
  <c r="G48" i="52"/>
  <c r="G43" i="52"/>
  <c r="H38" i="52"/>
  <c r="G32" i="52"/>
  <c r="G27" i="52"/>
  <c r="G22" i="52"/>
  <c r="I17" i="52"/>
  <c r="H17" i="52"/>
  <c r="G17" i="52"/>
  <c r="H12" i="52"/>
  <c r="G12" i="52"/>
  <c r="B29" i="48"/>
  <c r="B12" i="34"/>
  <c r="G74" i="52" l="1"/>
  <c r="F53" i="50" l="1"/>
  <c r="F47" i="50"/>
  <c r="F48" i="50" s="1"/>
  <c r="F43" i="50"/>
  <c r="F37" i="50" l="1"/>
  <c r="F38" i="50" s="1"/>
  <c r="F31" i="50" l="1"/>
  <c r="F32" i="50" s="1"/>
  <c r="F26" i="50"/>
  <c r="F27" i="50" s="1"/>
  <c r="F22" i="50"/>
  <c r="F16" i="50"/>
  <c r="F17" i="50" s="1"/>
  <c r="F12" i="50"/>
  <c r="D35" i="50" l="1"/>
  <c r="D64" i="50"/>
  <c r="C11" i="50"/>
  <c r="C12" i="50"/>
  <c r="C13" i="50"/>
  <c r="C14" i="50"/>
  <c r="C16" i="50"/>
  <c r="C17" i="50"/>
  <c r="C18" i="50"/>
  <c r="C19" i="50"/>
  <c r="C21" i="50"/>
  <c r="C22" i="50"/>
  <c r="C23" i="50"/>
  <c r="C24" i="50"/>
  <c r="C26" i="50"/>
  <c r="C27" i="50"/>
  <c r="C28" i="50"/>
  <c r="C29" i="50"/>
  <c r="C31" i="50"/>
  <c r="C32" i="50"/>
  <c r="C33" i="50"/>
  <c r="C34" i="50"/>
  <c r="C37" i="50"/>
  <c r="C38" i="50"/>
  <c r="C39" i="50"/>
  <c r="C40" i="50"/>
  <c r="C42" i="50"/>
  <c r="C43" i="50"/>
  <c r="C44" i="50"/>
  <c r="C45" i="50"/>
  <c r="C47" i="50"/>
  <c r="C48" i="50"/>
  <c r="C49" i="50"/>
  <c r="C50" i="50"/>
  <c r="C52" i="50"/>
  <c r="C53" i="50"/>
  <c r="C54" i="50"/>
  <c r="C55" i="50"/>
  <c r="C60" i="50"/>
  <c r="C61" i="50"/>
  <c r="C65" i="50"/>
  <c r="C67" i="50"/>
  <c r="C68" i="50"/>
  <c r="C70" i="50"/>
  <c r="C71" i="50"/>
  <c r="C76" i="50"/>
  <c r="C80" i="50"/>
  <c r="C81" i="50"/>
  <c r="C82" i="50"/>
  <c r="C83" i="50"/>
  <c r="C84" i="50"/>
  <c r="H39" i="52" l="1"/>
  <c r="B31" i="34"/>
  <c r="D31" i="34"/>
  <c r="E22" i="34" s="1"/>
  <c r="F73" i="50" l="1"/>
  <c r="F67" i="50"/>
  <c r="G68" i="52"/>
  <c r="G69" i="52" s="1"/>
  <c r="G53" i="52"/>
  <c r="G38" i="52"/>
  <c r="F68" i="50" l="1"/>
  <c r="B73" i="50"/>
  <c r="C73" i="50" s="1"/>
  <c r="F74" i="50"/>
  <c r="G23" i="52" l="1"/>
  <c r="G24" i="52" s="1"/>
  <c r="F21" i="52" s="1"/>
  <c r="F22" i="52" s="1"/>
  <c r="G18" i="52"/>
  <c r="G19" i="52" s="1"/>
  <c r="G13" i="52"/>
  <c r="G14" i="52" s="1"/>
  <c r="G75" i="52"/>
  <c r="F73" i="52" s="1"/>
  <c r="F67" i="52"/>
  <c r="B67" i="52" s="1"/>
  <c r="G54" i="52"/>
  <c r="G55" i="52" s="1"/>
  <c r="F52" i="52" s="1"/>
  <c r="F53" i="52" s="1"/>
  <c r="G49" i="52"/>
  <c r="F47" i="52" s="1"/>
  <c r="F48" i="52" s="1"/>
  <c r="G44" i="52"/>
  <c r="G45" i="52" s="1"/>
  <c r="F42" i="52" s="1"/>
  <c r="F43" i="52" s="1"/>
  <c r="H40" i="52"/>
  <c r="G39" i="52"/>
  <c r="G40" i="52" s="1"/>
  <c r="F37" i="52" s="1"/>
  <c r="F38" i="52" s="1"/>
  <c r="G33" i="52"/>
  <c r="G34" i="52" s="1"/>
  <c r="F31" i="52" s="1"/>
  <c r="F32" i="52" s="1"/>
  <c r="G28" i="52"/>
  <c r="F26" i="52" s="1"/>
  <c r="F27" i="52" s="1"/>
  <c r="I19" i="52"/>
  <c r="H18" i="52"/>
  <c r="H19" i="52" s="1"/>
  <c r="H13" i="52"/>
  <c r="H14" i="52" s="1"/>
  <c r="F16" i="52" l="1"/>
  <c r="F17" i="52" s="1"/>
  <c r="B73" i="52"/>
  <c r="F74" i="52"/>
  <c r="F68" i="52"/>
  <c r="B68" i="52" s="1"/>
  <c r="F11" i="52"/>
  <c r="F12" i="52" s="1"/>
  <c r="D2" i="34"/>
  <c r="B2" i="34"/>
  <c r="C119" i="52" l="1"/>
  <c r="B119" i="52"/>
  <c r="D119" i="52"/>
  <c r="D99" i="52" s="1"/>
  <c r="E84" i="52"/>
  <c r="C84" i="52"/>
  <c r="D79" i="52"/>
  <c r="D77" i="52"/>
  <c r="B74" i="52"/>
  <c r="C74" i="52" s="1"/>
  <c r="C73" i="52"/>
  <c r="D72" i="52"/>
  <c r="C71" i="52"/>
  <c r="C67" i="52"/>
  <c r="D66" i="52"/>
  <c r="C65" i="52"/>
  <c r="E65" i="52" s="1"/>
  <c r="D64" i="52"/>
  <c r="D62" i="52"/>
  <c r="E61" i="52"/>
  <c r="C61" i="52"/>
  <c r="B60" i="52"/>
  <c r="E60" i="52" s="1"/>
  <c r="D58" i="52"/>
  <c r="D56" i="52"/>
  <c r="D51" i="52"/>
  <c r="D46" i="52"/>
  <c r="D41" i="52"/>
  <c r="D36" i="52"/>
  <c r="D35" i="52"/>
  <c r="D30" i="52"/>
  <c r="D25" i="52"/>
  <c r="D20" i="52"/>
  <c r="D15" i="52"/>
  <c r="D10" i="52"/>
  <c r="D9" i="52" s="1"/>
  <c r="B4" i="52"/>
  <c r="D88" i="52" l="1"/>
  <c r="D108" i="52"/>
  <c r="D87" i="52"/>
  <c r="D96" i="52"/>
  <c r="D94" i="52"/>
  <c r="D92" i="52"/>
  <c r="D90" i="52"/>
  <c r="D117" i="52"/>
  <c r="D115" i="52"/>
  <c r="D113" i="52"/>
  <c r="D111" i="52"/>
  <c r="D109" i="52"/>
  <c r="D106" i="52"/>
  <c r="D104" i="52"/>
  <c r="D102" i="52"/>
  <c r="D100" i="52"/>
  <c r="D95" i="52"/>
  <c r="D93" i="52"/>
  <c r="D91" i="52"/>
  <c r="D89" i="52"/>
  <c r="D98" i="52"/>
  <c r="D116" i="52"/>
  <c r="D114" i="52"/>
  <c r="D112" i="52"/>
  <c r="D110" i="52"/>
  <c r="D107" i="52"/>
  <c r="D105" i="52"/>
  <c r="D103" i="52"/>
  <c r="D101" i="52"/>
  <c r="C60" i="52"/>
  <c r="C68" i="52"/>
  <c r="E23" i="34"/>
  <c r="F66" i="52" s="1"/>
  <c r="F69" i="52" s="1"/>
  <c r="B69" i="52" s="1"/>
  <c r="E24" i="34"/>
  <c r="E25" i="34"/>
  <c r="F72" i="52" s="1"/>
  <c r="F75" i="52" s="1"/>
  <c r="E26" i="34"/>
  <c r="F77" i="52" s="1"/>
  <c r="B78" i="52" s="1"/>
  <c r="B77" i="52" s="1"/>
  <c r="E27" i="34"/>
  <c r="F79" i="52" s="1"/>
  <c r="B79" i="52" s="1"/>
  <c r="C79" i="52" s="1"/>
  <c r="E79" i="52" s="1"/>
  <c r="E28" i="34"/>
  <c r="E29" i="34"/>
  <c r="E14" i="34"/>
  <c r="F41" i="52" s="1"/>
  <c r="E15" i="34"/>
  <c r="F46" i="52" s="1"/>
  <c r="E16" i="34"/>
  <c r="F51" i="52" s="1"/>
  <c r="E17" i="34"/>
  <c r="F56" i="52" s="1"/>
  <c r="B57" i="52" s="1"/>
  <c r="C57" i="52" s="1"/>
  <c r="E18" i="34"/>
  <c r="E19" i="34"/>
  <c r="E20" i="34"/>
  <c r="F62" i="52" s="1"/>
  <c r="B63" i="52" s="1"/>
  <c r="B62" i="52" s="1"/>
  <c r="C62" i="52" s="1"/>
  <c r="E62" i="52" s="1"/>
  <c r="E13" i="34"/>
  <c r="E7" i="34"/>
  <c r="F15" i="52" s="1"/>
  <c r="E8" i="34"/>
  <c r="F20" i="52" s="1"/>
  <c r="E9" i="34"/>
  <c r="F25" i="52" s="1"/>
  <c r="E10" i="34"/>
  <c r="E6" i="34"/>
  <c r="C28" i="34"/>
  <c r="D30" i="34"/>
  <c r="D32" i="34" s="1"/>
  <c r="D21" i="34"/>
  <c r="D12" i="34"/>
  <c r="D5" i="34"/>
  <c r="B46" i="52" l="1"/>
  <c r="C46" i="52" s="1"/>
  <c r="E46" i="52" s="1"/>
  <c r="F49" i="52"/>
  <c r="B51" i="52"/>
  <c r="C51" i="52" s="1"/>
  <c r="E51" i="52" s="1"/>
  <c r="F54" i="52"/>
  <c r="B41" i="52"/>
  <c r="C41" i="52" s="1"/>
  <c r="E41" i="52" s="1"/>
  <c r="F44" i="52"/>
  <c r="B20" i="52"/>
  <c r="C20" i="52" s="1"/>
  <c r="E20" i="52" s="1"/>
  <c r="F23" i="52"/>
  <c r="B25" i="52"/>
  <c r="C25" i="52" s="1"/>
  <c r="E25" i="52" s="1"/>
  <c r="F28" i="52"/>
  <c r="B15" i="52"/>
  <c r="C15" i="52" s="1"/>
  <c r="E15" i="52" s="1"/>
  <c r="F18" i="52"/>
  <c r="E21" i="34"/>
  <c r="F58" i="52"/>
  <c r="B59" i="52" s="1"/>
  <c r="B58" i="52" s="1"/>
  <c r="C58" i="52" s="1"/>
  <c r="E58" i="52" s="1"/>
  <c r="D97" i="52"/>
  <c r="F85" i="52"/>
  <c r="E30" i="34"/>
  <c r="C78" i="52"/>
  <c r="B75" i="52"/>
  <c r="B56" i="52"/>
  <c r="C56" i="52" s="1"/>
  <c r="E12" i="34"/>
  <c r="F35" i="52" s="1"/>
  <c r="F36" i="52"/>
  <c r="E5" i="34"/>
  <c r="F10" i="52"/>
  <c r="D86" i="52"/>
  <c r="D85" i="52" s="1"/>
  <c r="D118" i="52" s="1"/>
  <c r="C77" i="52"/>
  <c r="E77" i="52" s="1"/>
  <c r="D118" i="50"/>
  <c r="D87" i="50" s="1"/>
  <c r="C118" i="50"/>
  <c r="B118" i="50"/>
  <c r="C6" i="34"/>
  <c r="B36" i="52" l="1"/>
  <c r="C36" i="52" s="1"/>
  <c r="E36" i="52" s="1"/>
  <c r="F39" i="52"/>
  <c r="B66" i="52"/>
  <c r="C69" i="52"/>
  <c r="C75" i="52"/>
  <c r="B72" i="52"/>
  <c r="C72" i="52" s="1"/>
  <c r="E72" i="52" s="1"/>
  <c r="B35" i="52"/>
  <c r="F13" i="52"/>
  <c r="B10" i="52"/>
  <c r="C10" i="52" s="1"/>
  <c r="E10" i="52" s="1"/>
  <c r="E56" i="52"/>
  <c r="D120" i="52"/>
  <c r="B74" i="50"/>
  <c r="C74" i="50" s="1"/>
  <c r="C8" i="34"/>
  <c r="C35" i="52" l="1"/>
  <c r="E35" i="52" s="1"/>
  <c r="B64" i="52"/>
  <c r="C66" i="52"/>
  <c r="F20" i="50"/>
  <c r="B4" i="50"/>
  <c r="D99" i="50"/>
  <c r="B20" i="50" l="1"/>
  <c r="C20" i="50" s="1"/>
  <c r="F23" i="50"/>
  <c r="E66" i="52"/>
  <c r="C64" i="52"/>
  <c r="E64" i="52" s="1"/>
  <c r="D100" i="50"/>
  <c r="D101" i="50"/>
  <c r="D102" i="50"/>
  <c r="D103" i="50"/>
  <c r="D104" i="50"/>
  <c r="D105" i="50"/>
  <c r="D106" i="50"/>
  <c r="D107" i="50"/>
  <c r="D108" i="50"/>
  <c r="D109" i="50"/>
  <c r="D110" i="50"/>
  <c r="D111" i="50"/>
  <c r="D112" i="50"/>
  <c r="D113" i="50"/>
  <c r="D114" i="50"/>
  <c r="D115" i="50"/>
  <c r="D116" i="50"/>
  <c r="D98" i="50"/>
  <c r="D89" i="50"/>
  <c r="D90" i="50"/>
  <c r="D91" i="50"/>
  <c r="D92" i="50"/>
  <c r="D93" i="50"/>
  <c r="D94" i="50"/>
  <c r="D95" i="50"/>
  <c r="D96" i="50"/>
  <c r="D88" i="50"/>
  <c r="C7" i="34"/>
  <c r="F15" i="50" s="1"/>
  <c r="C9" i="34"/>
  <c r="F25" i="50" s="1"/>
  <c r="C10" i="34"/>
  <c r="C11" i="34"/>
  <c r="C13" i="34"/>
  <c r="F36" i="50" s="1"/>
  <c r="C14" i="34"/>
  <c r="F41" i="50" s="1"/>
  <c r="C15" i="34"/>
  <c r="F46" i="50" s="1"/>
  <c r="C16" i="34"/>
  <c r="F51" i="50" s="1"/>
  <c r="C17" i="34"/>
  <c r="F56" i="50" s="1"/>
  <c r="B57" i="50" s="1"/>
  <c r="C57" i="50" s="1"/>
  <c r="C18" i="34"/>
  <c r="C19" i="34"/>
  <c r="C20" i="34"/>
  <c r="F62" i="50" s="1"/>
  <c r="B63" i="50" s="1"/>
  <c r="C63" i="50" s="1"/>
  <c r="C22" i="34"/>
  <c r="C23" i="34"/>
  <c r="F66" i="50" s="1"/>
  <c r="F69" i="50" s="1"/>
  <c r="C24" i="34"/>
  <c r="C25" i="34"/>
  <c r="F72" i="50" s="1"/>
  <c r="C26" i="34"/>
  <c r="F77" i="50" s="1"/>
  <c r="B78" i="50" s="1"/>
  <c r="C78" i="50" s="1"/>
  <c r="C27" i="34"/>
  <c r="F79" i="50" s="1"/>
  <c r="B79" i="50" s="1"/>
  <c r="C79" i="50" s="1"/>
  <c r="C29" i="34"/>
  <c r="F10" i="50"/>
  <c r="B30" i="34"/>
  <c r="B32" i="34" s="1"/>
  <c r="B21" i="34"/>
  <c r="B5" i="34"/>
  <c r="B46" i="50" l="1"/>
  <c r="C46" i="50" s="1"/>
  <c r="F49" i="50"/>
  <c r="B36" i="50"/>
  <c r="C36" i="50" s="1"/>
  <c r="F39" i="50"/>
  <c r="B51" i="50"/>
  <c r="C51" i="50" s="1"/>
  <c r="B41" i="50"/>
  <c r="C41" i="50" s="1"/>
  <c r="F44" i="50"/>
  <c r="B10" i="50"/>
  <c r="C10" i="50" s="1"/>
  <c r="F13" i="50"/>
  <c r="B15" i="50"/>
  <c r="C15" i="50" s="1"/>
  <c r="F18" i="50"/>
  <c r="B25" i="50"/>
  <c r="C25" i="50" s="1"/>
  <c r="F28" i="50"/>
  <c r="B85" i="50"/>
  <c r="C85" i="50" s="1"/>
  <c r="B85" i="52"/>
  <c r="C85" i="52" s="1"/>
  <c r="E85" i="52" s="1"/>
  <c r="B75" i="50"/>
  <c r="C75" i="50" s="1"/>
  <c r="F75" i="50"/>
  <c r="C69" i="50"/>
  <c r="F30" i="50"/>
  <c r="F30" i="52"/>
  <c r="C21" i="34"/>
  <c r="F58" i="50"/>
  <c r="B59" i="50" s="1"/>
  <c r="C59" i="50" s="1"/>
  <c r="C12" i="34"/>
  <c r="F35" i="50" s="1"/>
  <c r="B56" i="50"/>
  <c r="C56" i="50" s="1"/>
  <c r="C5" i="34"/>
  <c r="C30" i="34"/>
  <c r="D97" i="50"/>
  <c r="E84" i="50"/>
  <c r="D79" i="50"/>
  <c r="D77" i="50"/>
  <c r="B77" i="50"/>
  <c r="C77" i="50" s="1"/>
  <c r="D72" i="50"/>
  <c r="D66" i="50"/>
  <c r="E65" i="50"/>
  <c r="D62" i="50"/>
  <c r="B62" i="50"/>
  <c r="C62" i="50" s="1"/>
  <c r="E61" i="50"/>
  <c r="B60" i="50"/>
  <c r="E60" i="50" s="1"/>
  <c r="D58" i="50"/>
  <c r="D56" i="50"/>
  <c r="D51" i="50"/>
  <c r="E51" i="50"/>
  <c r="D46" i="50"/>
  <c r="D41" i="50"/>
  <c r="D36" i="50"/>
  <c r="D30" i="50"/>
  <c r="D25" i="50"/>
  <c r="D20" i="50"/>
  <c r="D15" i="50"/>
  <c r="D10" i="50"/>
  <c r="D9" i="50" s="1"/>
  <c r="B30" i="52" l="1"/>
  <c r="F33" i="52"/>
  <c r="B30" i="50"/>
  <c r="C30" i="50" s="1"/>
  <c r="C9" i="50" s="1"/>
  <c r="F33" i="50"/>
  <c r="F9" i="50"/>
  <c r="F9" i="52"/>
  <c r="C30" i="52"/>
  <c r="B9" i="52"/>
  <c r="B118" i="52" s="1"/>
  <c r="B120" i="52" s="1"/>
  <c r="E41" i="50"/>
  <c r="D86" i="50"/>
  <c r="D85" i="50" s="1"/>
  <c r="E46" i="50"/>
  <c r="E77" i="50"/>
  <c r="E15" i="50"/>
  <c r="B72" i="50"/>
  <c r="C72" i="50" s="1"/>
  <c r="E56" i="50"/>
  <c r="E62" i="50"/>
  <c r="B58" i="50"/>
  <c r="B35" i="50" l="1"/>
  <c r="C58" i="50"/>
  <c r="C35" i="50" s="1"/>
  <c r="E30" i="52"/>
  <c r="C9" i="52"/>
  <c r="E72" i="50"/>
  <c r="D117" i="50"/>
  <c r="D119" i="50" s="1"/>
  <c r="E85" i="50"/>
  <c r="E36" i="50"/>
  <c r="E30" i="50"/>
  <c r="E25" i="50"/>
  <c r="B66" i="50"/>
  <c r="C66" i="50" s="1"/>
  <c r="C64" i="50" s="1"/>
  <c r="E79" i="50"/>
  <c r="E58" i="50" l="1"/>
  <c r="E9" i="52"/>
  <c r="C118" i="52"/>
  <c r="B9" i="50"/>
  <c r="E20" i="50"/>
  <c r="E35" i="50"/>
  <c r="B64" i="50"/>
  <c r="B117" i="50" l="1"/>
  <c r="B119" i="50" s="1"/>
  <c r="E118" i="52"/>
  <c r="C120" i="52"/>
  <c r="E66" i="50"/>
  <c r="E10" i="50"/>
  <c r="E9" i="50"/>
  <c r="E64" i="50" l="1"/>
  <c r="C117" i="50"/>
  <c r="E117" i="50" l="1"/>
</calcChain>
</file>

<file path=xl/sharedStrings.xml><?xml version="1.0" encoding="utf-8"?>
<sst xmlns="http://schemas.openxmlformats.org/spreadsheetml/2006/main" count="862" uniqueCount="193">
  <si>
    <t>Прочие расходы</t>
  </si>
  <si>
    <t>Адрес</t>
  </si>
  <si>
    <t>I Ремонт конструктивных элементов жилых зданий *</t>
  </si>
  <si>
    <t>1.1 Работы выполняемые в отношении всех видов фундаментов , стен, перекрытий и покрытий,колонн и столбов, балок (ригелей), перекрытий, лестниц,колонн и столбов,балок (ригелей) перекрытий, лестниц</t>
  </si>
  <si>
    <t>1.2 Работы выполняемые в целях надлежащего содержания фасадов, внутренней отделки</t>
  </si>
  <si>
    <t>1.3 Работы выполняемые в целях надлежащего содержания полов, полов оконных и дверных заполнений помещений, относящихся к общему имуществу</t>
  </si>
  <si>
    <t>1.4 Содержание подвалов и чердаков</t>
  </si>
  <si>
    <t>1.5 Работы выполняемые в целях надлежащего  содержания крыш</t>
  </si>
  <si>
    <t>II Ремонт и обслуживание внутридомового инженерного оборудования</t>
  </si>
  <si>
    <t>2.1 Обслуживание систем холодного водоснабжения и водоотведения</t>
  </si>
  <si>
    <t>2.2 Обслуживание систем теплоснабжения</t>
  </si>
  <si>
    <t>2.3 Обслуживание систем электроснабжения</t>
  </si>
  <si>
    <t>2.4 Обслуживание вентиляционных каналов и дымоходов</t>
  </si>
  <si>
    <t xml:space="preserve">2.5 Работы выполняемые в целях надлежащего содержания и ремонта лифта </t>
  </si>
  <si>
    <t>2.6 Расходы на электроэнергию лифтов</t>
  </si>
  <si>
    <t>2.7 Расходы на электроэнергию МОП</t>
  </si>
  <si>
    <t>2.8 Поверка подомовых приборов учета тепловой энергии</t>
  </si>
  <si>
    <t>III Работы и услуги по содержанию иного общего имущества в многоквартирном доме</t>
  </si>
  <si>
    <t>3.1 Уборка лестничных клеток</t>
  </si>
  <si>
    <t>3.2 Обслуживание территорий домовладений (подметание)</t>
  </si>
  <si>
    <t>3.3. Уборка контейнерных площадок</t>
  </si>
  <si>
    <t>3.4 Обслуживание мусоропроводов</t>
  </si>
  <si>
    <t>3.5 Дератизация и дезинсекция мест общего пользования,подвалов</t>
  </si>
  <si>
    <t>3.6 Ремонтно-аварийное обслуживание</t>
  </si>
  <si>
    <t>IV Расходы на управление жилищным фондом</t>
  </si>
  <si>
    <t>V Общие эксплуатационные расходы</t>
  </si>
  <si>
    <t>Итого тариф руб.на 1 м.кв. общей площади квартир</t>
  </si>
  <si>
    <t>Площадь, кв. м.</t>
  </si>
  <si>
    <t>Сумма</t>
  </si>
  <si>
    <t>руб./м²</t>
  </si>
  <si>
    <t>Наименование услуг или работ</t>
  </si>
  <si>
    <t>Экономист</t>
  </si>
  <si>
    <t>____________________</t>
  </si>
  <si>
    <t>Старостюк И.В.</t>
  </si>
  <si>
    <t>руб.</t>
  </si>
  <si>
    <t>Всего расходов по полной себестоимости</t>
  </si>
  <si>
    <t>Заработная плата рабочих</t>
  </si>
  <si>
    <t>Отчисления на социальные нужды</t>
  </si>
  <si>
    <t>Материалы</t>
  </si>
  <si>
    <t>Тариф на 1 кв.м.</t>
  </si>
  <si>
    <t>Услуги сторонних организаций (стоимость по договору)</t>
  </si>
  <si>
    <t>согласно тарифа на электроэнергию (договор с ГУП РК "Крымэнерго)</t>
  </si>
  <si>
    <t>год</t>
  </si>
  <si>
    <t>месяц</t>
  </si>
  <si>
    <t>ПЛАН</t>
  </si>
  <si>
    <t>ФАКТ</t>
  </si>
  <si>
    <t>__________________</t>
  </si>
  <si>
    <t>МУП "Ремонтно-эксплуатационная организация - 1" г.Ялта</t>
  </si>
  <si>
    <t>Начальник</t>
  </si>
  <si>
    <t>Журавлев Ю.Л.</t>
  </si>
  <si>
    <t>Почтово - телеграфные и телефонные расходы</t>
  </si>
  <si>
    <t>Услуги банка</t>
  </si>
  <si>
    <t>Канцелярские товары</t>
  </si>
  <si>
    <t>Консультационные, информационные, аудиторские услуги</t>
  </si>
  <si>
    <t>Амортизационные отчисления</t>
  </si>
  <si>
    <t>Содержание и ремонт зданий, сооружений, машин, оборудования, инвентаря и другого имущества</t>
  </si>
  <si>
    <t>отопление</t>
  </si>
  <si>
    <t>вода</t>
  </si>
  <si>
    <t>электроэнергия</t>
  </si>
  <si>
    <t>техинвентаризация</t>
  </si>
  <si>
    <t>ремонт автотранспорта, запчасти</t>
  </si>
  <si>
    <t>горюче-смазочные материалы</t>
  </si>
  <si>
    <t>страхование транспортных средств</t>
  </si>
  <si>
    <t>Расходы на обслуживание работников производства</t>
  </si>
  <si>
    <t>подготовка и переподготовка кадров</t>
  </si>
  <si>
    <t>СИЗ и инвентарь</t>
  </si>
  <si>
    <t>Расходы по организации работ</t>
  </si>
  <si>
    <t>износ и списание МБП</t>
  </si>
  <si>
    <t>Вывоз мусора с территории жил.фонда</t>
  </si>
  <si>
    <t>Прочие общепроизводственные расходы</t>
  </si>
  <si>
    <t>Административно-управленческие расходы</t>
  </si>
  <si>
    <t>Общепроизводственные расходы</t>
  </si>
  <si>
    <t>Отклонение</t>
  </si>
  <si>
    <t>(гр. 3- гр. 4 = гр.5)</t>
  </si>
  <si>
    <t>Заработная плата рабочих (Печник)</t>
  </si>
  <si>
    <t>2.6 и 2.7  Расходы на электроэнергию лифтов и МОП</t>
  </si>
  <si>
    <t>Содержание компьютерной техники</t>
  </si>
  <si>
    <t>Командировки и перемещения</t>
  </si>
  <si>
    <t>охрана труда и техника безопасности</t>
  </si>
  <si>
    <t>содержание пожарной и сторожевой охраны, производственных мастерских</t>
  </si>
  <si>
    <t>IV и V Расходы на управление жилищным фондом и  Общие эксплуатационные расходы</t>
  </si>
  <si>
    <t>Калькуляция себестоимости услуг по содержанию домов, сооружений и придомовых территорий</t>
  </si>
  <si>
    <t xml:space="preserve">Тариф на услуги по содержанию домов, сооружений и придомовой территорий  </t>
  </si>
  <si>
    <t xml:space="preserve">Материалы </t>
  </si>
  <si>
    <t xml:space="preserve">Договор на обслуживание лифтов </t>
  </si>
  <si>
    <r>
      <t xml:space="preserve">Заработная плата работников АУП </t>
    </r>
    <r>
      <rPr>
        <sz val="10"/>
        <color indexed="8"/>
        <rFont val="Times New Roman"/>
        <family val="1"/>
        <charset val="204"/>
      </rPr>
      <t>(начальник, бухгалтера, секретарь и пр.)</t>
    </r>
  </si>
  <si>
    <r>
      <t xml:space="preserve">Заработная плата работников общего производства </t>
    </r>
    <r>
      <rPr>
        <sz val="11"/>
        <color indexed="8"/>
        <rFont val="Times New Roman"/>
        <family val="1"/>
        <charset val="204"/>
      </rPr>
      <t>(инженеры, кладовщики, водители, мастера,  и пр.)</t>
    </r>
  </si>
  <si>
    <t>Заработная плата работников АУП (начальник, бухгалтера, секретарь и пр.)</t>
  </si>
  <si>
    <t>Обслуживание компьютерной и оргтехники, локальной сети, заправка катриджа</t>
  </si>
  <si>
    <t>Расходы на программное обеспечение, электронные сервисы, технологическую поддержку ПО</t>
  </si>
  <si>
    <t>природный газ</t>
  </si>
  <si>
    <t>Топливо,горюче-смазочные материалы</t>
  </si>
  <si>
    <t xml:space="preserve"> за период с 01.01.2019  по 31.12.2019</t>
  </si>
  <si>
    <t>договор с ГУП РК "Крымэнерго (счет, акт )</t>
  </si>
  <si>
    <t>Номер по порядку</t>
  </si>
  <si>
    <t>Текущий год</t>
  </si>
  <si>
    <t>Год постройки</t>
  </si>
  <si>
    <t>Срок эксплуатации</t>
  </si>
  <si>
    <t>Общая площадь дома</t>
  </si>
  <si>
    <t>Площадь дома без балконов и лоджий</t>
  </si>
  <si>
    <t>Наличие централизованного отопления</t>
  </si>
  <si>
    <t>Площадь квартир с централизованным отоплением</t>
  </si>
  <si>
    <t>Этажность дома</t>
  </si>
  <si>
    <t>Количество квартир</t>
  </si>
  <si>
    <t>Всего квартир</t>
  </si>
  <si>
    <t>которые оборудованы ванными</t>
  </si>
  <si>
    <t>которые не оборудованы ванными</t>
  </si>
  <si>
    <t>со скрытой электро-проводкой</t>
  </si>
  <si>
    <t>с открытой электро-проводкой</t>
  </si>
  <si>
    <t>Количество проживающих</t>
  </si>
  <si>
    <t>Площадь кровель</t>
  </si>
  <si>
    <t>из кровельной стали</t>
  </si>
  <si>
    <t>из рубероида, толи и др. рулонных материалов</t>
  </si>
  <si>
    <t>из шифера, черепицы и др. штучных материалов</t>
  </si>
  <si>
    <t>Площадь МКД по материалу стен, перекрытий:</t>
  </si>
  <si>
    <t>кирпичные и каменные здания</t>
  </si>
  <si>
    <t>крупнопанельные блочные здания</t>
  </si>
  <si>
    <t>деревянные здания и из других материалов</t>
  </si>
  <si>
    <t>Площадь подвала</t>
  </si>
  <si>
    <t>Площадь подъезда</t>
  </si>
  <si>
    <t>Площадь придомовой территории</t>
  </si>
  <si>
    <t>с усовершенствованным покрытием</t>
  </si>
  <si>
    <t>без покрытий</t>
  </si>
  <si>
    <t>газоны</t>
  </si>
  <si>
    <t>Местоположение контейнера мусоропровода</t>
  </si>
  <si>
    <t>на 1-м этаже</t>
  </si>
  <si>
    <t>в цоколе</t>
  </si>
  <si>
    <t>Количество теплосчетчиков</t>
  </si>
  <si>
    <t>Период поверки теплосчетчика</t>
  </si>
  <si>
    <t>Расход  электроэнергии лифтов, кВт, (за прошлый год)</t>
  </si>
  <si>
    <t>Расход электроэнергии МОП, кВт,  (за прошлый год)</t>
  </si>
  <si>
    <t>Площадь контейнерных площадок, м.кв.</t>
  </si>
  <si>
    <t>да</t>
  </si>
  <si>
    <t>каменщик 3р.</t>
  </si>
  <si>
    <t>плотник 4р.</t>
  </si>
  <si>
    <t>штукатур 4р.</t>
  </si>
  <si>
    <t>маляр 3р.</t>
  </si>
  <si>
    <t>маляр 2р.</t>
  </si>
  <si>
    <t>столяр 3р.</t>
  </si>
  <si>
    <t>подсобный раб</t>
  </si>
  <si>
    <t>кровельщик 3р.</t>
  </si>
  <si>
    <t>слесарь-сантехник 5р</t>
  </si>
  <si>
    <t>электрогазосварщик 5р.</t>
  </si>
  <si>
    <t>электрик 4р.</t>
  </si>
  <si>
    <t>печник 4р.</t>
  </si>
  <si>
    <t>Дворник 1р.</t>
  </si>
  <si>
    <t>Уборщик мусоропровода 1р.</t>
  </si>
  <si>
    <r>
      <t>Заработная плата рабочих (</t>
    </r>
    <r>
      <rPr>
        <sz val="12"/>
        <rFont val="Times New Roman"/>
        <family val="1"/>
        <charset val="204"/>
      </rPr>
      <t>Дворник</t>
    </r>
    <r>
      <rPr>
        <sz val="12"/>
        <color indexed="8"/>
        <rFont val="Times New Roman"/>
        <family val="1"/>
        <charset val="204"/>
      </rPr>
      <t>)</t>
    </r>
  </si>
  <si>
    <t>Заработная плата рабочих (Уборщик мусоропроводов)</t>
  </si>
  <si>
    <t>Коэфф</t>
  </si>
  <si>
    <t xml:space="preserve"> за период с 01.01.2020  по 30.12.2020</t>
  </si>
  <si>
    <t>договор с ГУП РК "Крымэнерго (счет, акт)</t>
  </si>
  <si>
    <t>Тимирязева, 27 /2/3/4/5/6</t>
  </si>
  <si>
    <t>ТАРИФ</t>
  </si>
  <si>
    <t>ИТОГО</t>
  </si>
  <si>
    <t>I. Обслуживание конструктивных элементов жилых зданий*</t>
  </si>
  <si>
    <t>1.1. Содержание всех видов фундаментов, стен, перекрытий и покрытий, колонн и столбов, балок (ригелей) перекрытий, лестниц, перегородок</t>
  </si>
  <si>
    <t>1.2. Содержание фасадов, внутренней отделки</t>
  </si>
  <si>
    <t>1.3. Содержание полов, оконных и дверных заполнений помещений, относящихся к общему имуществу</t>
  </si>
  <si>
    <t>1.4. Содержание подвалов</t>
  </si>
  <si>
    <t>1.5. Содержание крыш</t>
  </si>
  <si>
    <t>II. Обслуживание внутридомового инженерного оборудования</t>
  </si>
  <si>
    <t>2.1. Обслуживание систем холодного водоснабжения и водоотведения</t>
  </si>
  <si>
    <t>2.2. Обслуживание систем теплоснабжения</t>
  </si>
  <si>
    <t>2.3. Обслуживание систем электроснабжения</t>
  </si>
  <si>
    <t>2.4. Обслуживание вентиляционных каналов и дымоходов</t>
  </si>
  <si>
    <t>2.5. Техническое обслуживание лифта (лифтов) в многоквартирном доме</t>
  </si>
  <si>
    <t>2.6. Техническое обслуживание внутридомового газового оборудования</t>
  </si>
  <si>
    <t>2.7. Техническое диагностирование внутридомового газового оборудования</t>
  </si>
  <si>
    <t>2.8. Поверка и техническое обслуживание подомовых приборов учета тепловой энергии</t>
  </si>
  <si>
    <t>2.9. Обслуживание систем пожаротушения</t>
  </si>
  <si>
    <t>2.10. Обслуживание систем дымоудаления</t>
  </si>
  <si>
    <t>III. Содержание иного общего имущества в многоквартирном доме</t>
  </si>
  <si>
    <t>3.1. Уборка лестничных клеток</t>
  </si>
  <si>
    <t>3.2. Обслуживание территорий домовладений (подметание)</t>
  </si>
  <si>
    <t>3.4. Обслуживание мусоропроводов</t>
  </si>
  <si>
    <t>3.5. Дератизация и дезинсекция мест общего пользования, подвалов и мусоропроводов</t>
  </si>
  <si>
    <t>3.6. Аварийно-диспетчерское обслуживание</t>
  </si>
  <si>
    <t>IV. Расходы на управление жилищным фондом</t>
  </si>
  <si>
    <t>V.Общие эксплуатационные расходы</t>
  </si>
  <si>
    <t>VΙ. Расходы на коммунальные ресурсы, потребляемые при использовании и содержании общего имущества в многоквартином доме:</t>
  </si>
  <si>
    <t>6.1. Расходы на электроэнергию</t>
  </si>
  <si>
    <t>6.2. Расходы по водоснабжению и водоотведению</t>
  </si>
  <si>
    <t>Итого за месяц</t>
  </si>
  <si>
    <t>Всего в год</t>
  </si>
  <si>
    <t>c 01.10.2021</t>
  </si>
  <si>
    <t xml:space="preserve"> за период с 01.01.2021  по 30.09.2021</t>
  </si>
  <si>
    <t>9 мес.</t>
  </si>
  <si>
    <t xml:space="preserve"> за период с 01.10.2021  по 31.12.2021</t>
  </si>
  <si>
    <t>договор с ЯУЭГХ ГУП РК "Крымгазсети" (счет, акт)</t>
  </si>
  <si>
    <t>3 мес.</t>
  </si>
  <si>
    <t xml:space="preserve"> за период с 01.01.2021  по 31.12.2021</t>
  </si>
  <si>
    <t>Отчет о выполненных работах и услугах по содержанию домов, сооружений и придомовых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</si>
</sst>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г_р_н_._-;\-* #,##0.00_г_р_н_._-;_-* &quot;-&quot;??_г_р_н_._-;_-@_-"/>
    <numFmt numFmtId="165" formatCode="0.0000"/>
    <numFmt numFmtId="166" formatCode="#,##0.0000"/>
    <numFmt numFmtId="167" formatCode="#,##0.0"/>
    <numFmt numFmtId="168" formatCode="#,##0.000"/>
    <numFmt numFmtId="169" formatCode="0.0"/>
    <numFmt numFmtId="170" formatCode="0.000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/>
    <xf numFmtId="4" fontId="0" fillId="0" borderId="0" xfId="0" applyNumberFormat="1"/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/>
    <xf numFmtId="0" fontId="9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12" fillId="2" borderId="1" xfId="0" applyNumberFormat="1" applyFont="1" applyFill="1" applyBorder="1"/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12" fillId="3" borderId="1" xfId="0" applyNumberFormat="1" applyFont="1" applyFill="1" applyBorder="1"/>
    <xf numFmtId="2" fontId="0" fillId="0" borderId="0" xfId="0" applyNumberFormat="1"/>
    <xf numFmtId="166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6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167" fontId="7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6" fillId="0" borderId="0" xfId="0" applyFont="1"/>
    <xf numFmtId="0" fontId="17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right" vertical="top" wrapText="1"/>
    </xf>
    <xf numFmtId="166" fontId="7" fillId="0" borderId="1" xfId="0" applyNumberFormat="1" applyFont="1" applyBorder="1"/>
    <xf numFmtId="0" fontId="15" fillId="0" borderId="0" xfId="0" applyFont="1" applyFill="1" applyBorder="1" applyAlignment="1">
      <alignment horizontal="right" vertical="top" wrapText="1"/>
    </xf>
    <xf numFmtId="166" fontId="7" fillId="0" borderId="0" xfId="0" applyNumberFormat="1" applyFont="1" applyBorder="1"/>
    <xf numFmtId="4" fontId="7" fillId="0" borderId="0" xfId="0" applyNumberFormat="1" applyFont="1"/>
    <xf numFmtId="0" fontId="19" fillId="0" borderId="0" xfId="0" applyFont="1" applyFill="1" applyBorder="1" applyAlignment="1">
      <alignment horizontal="center" vertical="top" wrapText="1"/>
    </xf>
    <xf numFmtId="166" fontId="18" fillId="0" borderId="0" xfId="0" applyNumberFormat="1" applyFont="1" applyBorder="1"/>
    <xf numFmtId="168" fontId="7" fillId="0" borderId="1" xfId="0" applyNumberFormat="1" applyFont="1" applyBorder="1"/>
    <xf numFmtId="4" fontId="16" fillId="0" borderId="0" xfId="0" applyNumberFormat="1" applyFont="1"/>
    <xf numFmtId="166" fontId="16" fillId="0" borderId="0" xfId="0" applyNumberFormat="1" applyFont="1" applyBorder="1"/>
    <xf numFmtId="166" fontId="4" fillId="0" borderId="0" xfId="0" applyNumberFormat="1" applyFont="1" applyBorder="1"/>
    <xf numFmtId="0" fontId="14" fillId="0" borderId="1" xfId="0" applyFont="1" applyBorder="1" applyAlignment="1">
      <alignment horizontal="center"/>
    </xf>
    <xf numFmtId="4" fontId="12" fillId="3" borderId="2" xfId="0" applyNumberFormat="1" applyFont="1" applyFill="1" applyBorder="1"/>
    <xf numFmtId="4" fontId="4" fillId="0" borderId="1" xfId="0" applyNumberFormat="1" applyFont="1" applyBorder="1"/>
    <xf numFmtId="167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12" fillId="2" borderId="1" xfId="0" applyNumberFormat="1" applyFont="1" applyFill="1" applyBorder="1"/>
    <xf numFmtId="0" fontId="18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21" fillId="0" borderId="1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top" wrapText="1" indent="3"/>
    </xf>
    <xf numFmtId="169" fontId="7" fillId="0" borderId="1" xfId="0" applyNumberFormat="1" applyFont="1" applyFill="1" applyBorder="1"/>
    <xf numFmtId="166" fontId="6" fillId="0" borderId="1" xfId="0" applyNumberFormat="1" applyFont="1" applyFill="1" applyBorder="1"/>
    <xf numFmtId="166" fontId="6" fillId="0" borderId="8" xfId="0" applyNumberFormat="1" applyFont="1" applyFill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166" fontId="12" fillId="2" borderId="1" xfId="0" applyNumberFormat="1" applyFont="1" applyFill="1" applyBorder="1"/>
    <xf numFmtId="2" fontId="4" fillId="0" borderId="1" xfId="0" applyNumberFormat="1" applyFont="1" applyBorder="1"/>
    <xf numFmtId="4" fontId="6" fillId="0" borderId="8" xfId="0" applyNumberFormat="1" applyFont="1" applyFill="1" applyBorder="1"/>
    <xf numFmtId="4" fontId="5" fillId="0" borderId="1" xfId="0" applyNumberFormat="1" applyFont="1" applyBorder="1"/>
    <xf numFmtId="0" fontId="21" fillId="0" borderId="0" xfId="0" applyFont="1" applyBorder="1" applyAlignment="1">
      <alignment horizontal="left" vertical="center" wrapText="1" indent="5"/>
    </xf>
    <xf numFmtId="165" fontId="0" fillId="0" borderId="0" xfId="0" applyNumberFormat="1"/>
    <xf numFmtId="0" fontId="23" fillId="0" borderId="3" xfId="0" applyFont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left" vertical="center" wrapText="1" indent="1"/>
    </xf>
    <xf numFmtId="0" fontId="23" fillId="5" borderId="3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 indent="2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0" applyNumberFormat="1"/>
    <xf numFmtId="2" fontId="22" fillId="0" borderId="1" xfId="0" applyNumberFormat="1" applyFont="1" applyBorder="1"/>
    <xf numFmtId="2" fontId="0" fillId="0" borderId="1" xfId="0" applyNumberFormat="1" applyBorder="1"/>
    <xf numFmtId="4" fontId="6" fillId="0" borderId="0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 applyAlignment="1">
      <alignment horizontal="right"/>
    </xf>
    <xf numFmtId="167" fontId="6" fillId="0" borderId="2" xfId="0" applyNumberFormat="1" applyFont="1" applyBorder="1"/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4" fontId="25" fillId="0" borderId="0" xfId="0" applyNumberFormat="1" applyFont="1" applyBorder="1"/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1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 indent="1"/>
    </xf>
    <xf numFmtId="0" fontId="27" fillId="0" borderId="1" xfId="0" applyFont="1" applyFill="1" applyBorder="1" applyAlignment="1">
      <alignment wrapText="1"/>
    </xf>
    <xf numFmtId="165" fontId="27" fillId="0" borderId="1" xfId="0" applyNumberFormat="1" applyFont="1" applyFill="1" applyBorder="1" applyAlignment="1">
      <alignment horizontal="center" vertical="center" wrapText="1"/>
    </xf>
    <xf numFmtId="165" fontId="28" fillId="0" borderId="1" xfId="0" applyNumberFormat="1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center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right"/>
    </xf>
    <xf numFmtId="4" fontId="27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0" borderId="0" xfId="0" applyNumberFormat="1" applyFont="1" applyBorder="1"/>
    <xf numFmtId="4" fontId="4" fillId="0" borderId="0" xfId="0" quotePrefix="1" applyNumberFormat="1" applyFont="1" applyBorder="1"/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horizontal="center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 indent="3"/>
    </xf>
    <xf numFmtId="4" fontId="6" fillId="0" borderId="6" xfId="0" applyNumberFormat="1" applyFont="1" applyBorder="1"/>
    <xf numFmtId="4" fontId="5" fillId="0" borderId="1" xfId="0" applyNumberFormat="1" applyFont="1" applyBorder="1" applyAlignment="1">
      <alignment horizontal="left" vertical="top" wrapText="1" indent="3"/>
    </xf>
    <xf numFmtId="0" fontId="0" fillId="0" borderId="0" xfId="0" applyBorder="1"/>
    <xf numFmtId="4" fontId="12" fillId="3" borderId="0" xfId="0" applyNumberFormat="1" applyFont="1" applyFill="1" applyBorder="1"/>
    <xf numFmtId="166" fontId="0" fillId="0" borderId="0" xfId="0" applyNumberFormat="1" applyBorder="1"/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6" fillId="0" borderId="1" xfId="0" applyNumberFormat="1" applyFont="1" applyBorder="1" applyAlignment="1"/>
    <xf numFmtId="4" fontId="7" fillId="0" borderId="1" xfId="0" applyNumberFormat="1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2" fontId="1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topLeftCell="A36" zoomScaleNormal="100" workbookViewId="0">
      <selection sqref="A1:D122"/>
    </sheetView>
  </sheetViews>
  <sheetFormatPr defaultRowHeight="15" x14ac:dyDescent="0.25"/>
  <cols>
    <col min="1" max="1" width="66.5703125" style="1" customWidth="1"/>
    <col min="2" max="2" width="14.28515625" style="2" hidden="1" customWidth="1"/>
    <col min="3" max="3" width="19.71093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160" t="s">
        <v>47</v>
      </c>
      <c r="B1" s="160"/>
      <c r="C1" s="160"/>
      <c r="D1" s="160"/>
      <c r="E1" s="48"/>
    </row>
    <row r="2" spans="1:10" ht="39.75" customHeight="1" x14ac:dyDescent="0.25">
      <c r="A2" s="159" t="s">
        <v>192</v>
      </c>
      <c r="B2" s="159"/>
      <c r="C2" s="159"/>
      <c r="D2" s="159"/>
      <c r="E2" s="48"/>
    </row>
    <row r="3" spans="1:10" ht="23.25" customHeight="1" x14ac:dyDescent="0.25">
      <c r="A3" s="146" t="s">
        <v>191</v>
      </c>
      <c r="B3" s="146"/>
      <c r="C3" s="146"/>
      <c r="D3" s="146"/>
      <c r="E3" s="156"/>
      <c r="F3" s="20"/>
    </row>
    <row r="4" spans="1:10" ht="22.5" customHeight="1" x14ac:dyDescent="0.25">
      <c r="A4" s="57" t="s">
        <v>1</v>
      </c>
      <c r="B4" s="147" t="str">
        <f>'тариф 20-19'!B2</f>
        <v>Тимирязева, 27 /2/3/4/5/6</v>
      </c>
      <c r="C4" s="158"/>
      <c r="D4" s="158"/>
      <c r="E4" s="157"/>
      <c r="F4" s="25"/>
    </row>
    <row r="5" spans="1:10" ht="20.25" customHeight="1" x14ac:dyDescent="0.25">
      <c r="A5" s="150" t="s">
        <v>30</v>
      </c>
      <c r="B5" s="153" t="s">
        <v>44</v>
      </c>
      <c r="C5" s="154"/>
      <c r="D5" s="51" t="s">
        <v>45</v>
      </c>
      <c r="E5" s="51" t="s">
        <v>72</v>
      </c>
    </row>
    <row r="6" spans="1:10" ht="18" customHeight="1" x14ac:dyDescent="0.25">
      <c r="A6" s="151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52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0</v>
      </c>
      <c r="C9" s="15">
        <f>C10+C15+C20+C25+C30</f>
        <v>46057.594173179736</v>
      </c>
      <c r="D9" s="15">
        <f t="shared" ref="D9" si="0">D10+D15+D20+D25+D30</f>
        <v>0</v>
      </c>
      <c r="E9" s="15">
        <f>C9-D9</f>
        <v>46057.594173179736</v>
      </c>
      <c r="F9" s="23"/>
      <c r="G9" s="106">
        <v>0</v>
      </c>
    </row>
    <row r="10" spans="1:10" ht="63.75" customHeight="1" x14ac:dyDescent="0.25">
      <c r="A10" s="31" t="s">
        <v>3</v>
      </c>
      <c r="B10" s="35"/>
      <c r="C10" s="35">
        <f>'калькуляция 01.10.21-31.12.21'!C10+'калькуляция 01.01.21-30.09.21'!C10</f>
        <v>5064.7415508000004</v>
      </c>
      <c r="D10" s="35">
        <f>SUM(D11:D14)</f>
        <v>0</v>
      </c>
      <c r="E10" s="15">
        <f t="shared" ref="E10:E72" si="1">C10-D10</f>
        <v>5064.7415508000004</v>
      </c>
      <c r="F10" s="22"/>
      <c r="G10" s="107" t="s">
        <v>133</v>
      </c>
      <c r="H10" s="1" t="s">
        <v>134</v>
      </c>
    </row>
    <row r="11" spans="1:10" ht="17.25" hidden="1" customHeight="1" x14ac:dyDescent="0.25">
      <c r="A11" s="36" t="s">
        <v>36</v>
      </c>
      <c r="B11" s="35"/>
      <c r="C11" s="35"/>
      <c r="D11" s="35">
        <v>0</v>
      </c>
      <c r="E11" s="15"/>
      <c r="F11" s="130"/>
      <c r="G11" s="18">
        <v>20387</v>
      </c>
      <c r="H11" s="1">
        <v>22182</v>
      </c>
      <c r="J11" s="18"/>
    </row>
    <row r="12" spans="1:10" ht="14.25" hidden="1" customHeight="1" x14ac:dyDescent="0.25">
      <c r="A12" s="36" t="s">
        <v>37</v>
      </c>
      <c r="B12" s="35"/>
      <c r="C12" s="35"/>
      <c r="D12" s="35">
        <v>0</v>
      </c>
      <c r="E12" s="15"/>
      <c r="F12" s="130"/>
      <c r="G12" s="84">
        <f>('ТХ МКД'!B7+'ТХ МКД'!B28*0.5)*0.0111/1000</f>
        <v>6.1972410000000006E-2</v>
      </c>
      <c r="H12" s="84">
        <f>('ТХ МКД'!B7+'ТХ МКД'!B28*0.5)*0.00539/1000</f>
        <v>3.0092909000000001E-2</v>
      </c>
      <c r="I12" s="100"/>
    </row>
    <row r="13" spans="1:10" ht="14.25" hidden="1" customHeight="1" x14ac:dyDescent="0.25">
      <c r="A13" s="36" t="s">
        <v>38</v>
      </c>
      <c r="B13" s="35"/>
      <c r="C13" s="35"/>
      <c r="D13" s="35">
        <v>0</v>
      </c>
      <c r="E13" s="15"/>
      <c r="F13" s="130"/>
      <c r="G13" s="84">
        <f>G12*0.109</f>
        <v>6.7549926900000003E-3</v>
      </c>
      <c r="H13" s="84">
        <f>H12*0.1339</f>
        <v>4.0294405150999996E-3</v>
      </c>
    </row>
    <row r="14" spans="1:10" ht="14.25" hidden="1" customHeight="1" x14ac:dyDescent="0.25">
      <c r="A14" s="36" t="s">
        <v>0</v>
      </c>
      <c r="B14" s="35"/>
      <c r="C14" s="35"/>
      <c r="D14" s="35">
        <v>0</v>
      </c>
      <c r="E14" s="15"/>
      <c r="F14" s="22"/>
      <c r="G14" s="101">
        <f>G11*G12</f>
        <v>1263.43152267</v>
      </c>
      <c r="H14" s="101">
        <f>H11*H12</f>
        <v>667.52090743799999</v>
      </c>
    </row>
    <row r="15" spans="1:10" ht="33.75" customHeight="1" x14ac:dyDescent="0.25">
      <c r="A15" s="31" t="s">
        <v>4</v>
      </c>
      <c r="B15" s="35"/>
      <c r="C15" s="35">
        <f>'калькуляция 01.10.21-31.12.21'!C15+'калькуляция 01.01.21-30.09.21'!C15</f>
        <v>17778.124241999998</v>
      </c>
      <c r="D15" s="35">
        <f>SUM(D16:D19)</f>
        <v>0</v>
      </c>
      <c r="E15" s="15">
        <f t="shared" si="1"/>
        <v>17778.124241999998</v>
      </c>
      <c r="F15" s="22"/>
      <c r="G15" s="107" t="s">
        <v>135</v>
      </c>
      <c r="H15" s="107" t="s">
        <v>136</v>
      </c>
      <c r="I15" s="107" t="s">
        <v>137</v>
      </c>
    </row>
    <row r="16" spans="1:10" ht="15.75" hidden="1" customHeight="1" x14ac:dyDescent="0.25">
      <c r="A16" s="38" t="s">
        <v>36</v>
      </c>
      <c r="B16" s="35"/>
      <c r="C16" s="35"/>
      <c r="D16" s="35">
        <v>0</v>
      </c>
      <c r="E16" s="15"/>
      <c r="F16" s="22"/>
      <c r="G16" s="1">
        <v>22182</v>
      </c>
      <c r="H16" s="1">
        <v>20387</v>
      </c>
      <c r="I16" s="1">
        <v>17438</v>
      </c>
    </row>
    <row r="17" spans="1:9" ht="17.25" hidden="1" customHeight="1" x14ac:dyDescent="0.25">
      <c r="A17" s="37" t="s">
        <v>37</v>
      </c>
      <c r="B17" s="35"/>
      <c r="C17" s="35"/>
      <c r="D17" s="35">
        <v>0</v>
      </c>
      <c r="E17" s="15"/>
      <c r="F17" s="22"/>
      <c r="G17" s="84">
        <f>('ТХ МКД'!B7+'ТХ МКД'!B28*0.5)*0.0018/1000</f>
        <v>1.0049580000000001E-2</v>
      </c>
      <c r="H17" s="84">
        <f>('ТХ МКД'!B7+'ТХ МКД'!B28*0.5)*0.02295/1000</f>
        <v>0.128132145</v>
      </c>
      <c r="I17" s="84">
        <f>('ТХ МКД'!B7+'ТХ МКД'!B28*0.5)*0.02295/1000</f>
        <v>0.128132145</v>
      </c>
    </row>
    <row r="18" spans="1:9" ht="17.25" hidden="1" customHeight="1" x14ac:dyDescent="0.25">
      <c r="A18" s="37" t="s">
        <v>38</v>
      </c>
      <c r="B18" s="35"/>
      <c r="C18" s="35"/>
      <c r="D18" s="35">
        <v>0</v>
      </c>
      <c r="E18" s="15"/>
      <c r="F18" s="22"/>
      <c r="G18" s="84">
        <f>G17*0.5079</f>
        <v>5.1041816820000009E-3</v>
      </c>
      <c r="H18" s="84">
        <f>H17*0.2671</f>
        <v>3.4224095929500001E-2</v>
      </c>
      <c r="I18" s="18"/>
    </row>
    <row r="19" spans="1:9" ht="17.25" hidden="1" customHeight="1" x14ac:dyDescent="0.25">
      <c r="A19" s="37" t="s">
        <v>0</v>
      </c>
      <c r="B19" s="35"/>
      <c r="C19" s="35"/>
      <c r="D19" s="35">
        <v>0</v>
      </c>
      <c r="E19" s="15"/>
      <c r="F19" s="22"/>
      <c r="G19" s="101">
        <f>G16*G17</f>
        <v>222.91978356000001</v>
      </c>
      <c r="H19" s="101">
        <f t="shared" ref="H19:I19" si="2">H16*H17</f>
        <v>2612.2300401150001</v>
      </c>
      <c r="I19" s="101">
        <f t="shared" si="2"/>
        <v>2234.36834451</v>
      </c>
    </row>
    <row r="20" spans="1:9" ht="48" customHeight="1" x14ac:dyDescent="0.25">
      <c r="A20" s="31" t="s">
        <v>5</v>
      </c>
      <c r="B20" s="35"/>
      <c r="C20" s="35">
        <f>'калькуляция 01.10.21-31.12.21'!C20+'калькуляция 01.01.21-30.09.21'!C20</f>
        <v>2365.7406983999999</v>
      </c>
      <c r="D20" s="35">
        <f>SUM(D21:D24)</f>
        <v>0</v>
      </c>
      <c r="E20" s="15">
        <f t="shared" si="1"/>
        <v>2365.7406983999999</v>
      </c>
      <c r="F20" s="22"/>
      <c r="G20" s="107" t="s">
        <v>138</v>
      </c>
    </row>
    <row r="21" spans="1:9" ht="15.75" hidden="1" x14ac:dyDescent="0.25">
      <c r="A21" s="37" t="s">
        <v>36</v>
      </c>
      <c r="B21" s="35"/>
      <c r="C21" s="35"/>
      <c r="D21" s="35">
        <v>0</v>
      </c>
      <c r="E21" s="15"/>
      <c r="F21" s="130"/>
      <c r="G21" s="1">
        <v>20387</v>
      </c>
    </row>
    <row r="22" spans="1:9" ht="15.75" hidden="1" x14ac:dyDescent="0.25">
      <c r="A22" s="37" t="s">
        <v>37</v>
      </c>
      <c r="B22" s="35"/>
      <c r="C22" s="35"/>
      <c r="D22" s="35">
        <v>0</v>
      </c>
      <c r="E22" s="15"/>
      <c r="F22" s="130"/>
      <c r="G22" s="84">
        <f>('ТХ МКД'!B7+'ТХ МКД'!B28*0.5)*0.00888/1000</f>
        <v>4.9577928000000007E-2</v>
      </c>
    </row>
    <row r="23" spans="1:9" ht="15.75" hidden="1" x14ac:dyDescent="0.25">
      <c r="A23" s="37" t="s">
        <v>38</v>
      </c>
      <c r="B23" s="35"/>
      <c r="C23" s="35"/>
      <c r="D23" s="35">
        <v>0</v>
      </c>
      <c r="E23" s="15"/>
      <c r="F23" s="130"/>
      <c r="G23" s="84">
        <f>G22*0.1192</f>
        <v>5.9096890176000005E-3</v>
      </c>
      <c r="H23" s="2"/>
    </row>
    <row r="24" spans="1:9" ht="15.75" hidden="1" x14ac:dyDescent="0.25">
      <c r="A24" s="37" t="s">
        <v>0</v>
      </c>
      <c r="B24" s="35"/>
      <c r="C24" s="35"/>
      <c r="D24" s="35">
        <v>0</v>
      </c>
      <c r="E24" s="15"/>
      <c r="F24" s="22"/>
      <c r="G24" s="101">
        <f>G21*G22</f>
        <v>1010.7452181360002</v>
      </c>
    </row>
    <row r="25" spans="1:9" ht="15.75" x14ac:dyDescent="0.25">
      <c r="A25" s="31" t="s">
        <v>6</v>
      </c>
      <c r="B25" s="35"/>
      <c r="C25" s="35">
        <f>'калькуляция 01.10.21-31.12.21'!C25+'калькуляция 01.01.21-30.09.21'!C25</f>
        <v>5742.0666298197357</v>
      </c>
      <c r="D25" s="35">
        <f>SUM(D26:D29)</f>
        <v>0</v>
      </c>
      <c r="E25" s="15">
        <f t="shared" si="1"/>
        <v>5742.0666298197357</v>
      </c>
      <c r="F25" s="22"/>
      <c r="G25" s="107" t="s">
        <v>139</v>
      </c>
    </row>
    <row r="26" spans="1:9" ht="15.75" hidden="1" x14ac:dyDescent="0.25">
      <c r="A26" s="37" t="s">
        <v>36</v>
      </c>
      <c r="B26" s="35"/>
      <c r="C26" s="35"/>
      <c r="D26" s="35">
        <v>0</v>
      </c>
      <c r="E26" s="15"/>
      <c r="F26" s="22"/>
      <c r="G26" s="1">
        <v>12822</v>
      </c>
    </row>
    <row r="27" spans="1:9" ht="15.75" hidden="1" x14ac:dyDescent="0.25">
      <c r="A27" s="37" t="s">
        <v>37</v>
      </c>
      <c r="B27" s="35"/>
      <c r="C27" s="35"/>
      <c r="D27" s="35">
        <v>0</v>
      </c>
      <c r="E27" s="15"/>
      <c r="F27" s="22"/>
      <c r="G27" s="84">
        <f>'ТХ МКД'!B27*0.0263/1000</f>
        <v>2.789904E-2</v>
      </c>
    </row>
    <row r="28" spans="1:9" ht="15.75" hidden="1" x14ac:dyDescent="0.25">
      <c r="A28" s="37" t="s">
        <v>38</v>
      </c>
      <c r="B28" s="35"/>
      <c r="C28" s="35"/>
      <c r="D28" s="35">
        <v>0</v>
      </c>
      <c r="E28" s="15"/>
      <c r="F28" s="22"/>
      <c r="G28" s="101">
        <f>G26*G27</f>
        <v>357.72149087999998</v>
      </c>
      <c r="H28" s="2"/>
    </row>
    <row r="29" spans="1:9" ht="15.75" hidden="1" x14ac:dyDescent="0.25">
      <c r="A29" s="37" t="s">
        <v>0</v>
      </c>
      <c r="B29" s="35"/>
      <c r="C29" s="35"/>
      <c r="D29" s="35">
        <v>0</v>
      </c>
      <c r="E29" s="15"/>
      <c r="F29" s="22"/>
    </row>
    <row r="30" spans="1:9" ht="18.75" customHeight="1" x14ac:dyDescent="0.25">
      <c r="A30" s="31" t="s">
        <v>7</v>
      </c>
      <c r="B30" s="35"/>
      <c r="C30" s="35">
        <f>'калькуляция 01.10.21-31.12.21'!C30+'калькуляция 01.01.21-30.09.21'!C30</f>
        <v>15106.92105216</v>
      </c>
      <c r="D30" s="35">
        <f>SUM(D31:D34)</f>
        <v>0</v>
      </c>
      <c r="E30" s="15">
        <f t="shared" si="1"/>
        <v>15106.92105216</v>
      </c>
      <c r="F30" s="22"/>
      <c r="G30" s="107" t="s">
        <v>140</v>
      </c>
    </row>
    <row r="31" spans="1:9" ht="15.75" hidden="1" x14ac:dyDescent="0.25">
      <c r="A31" s="37" t="s">
        <v>36</v>
      </c>
      <c r="B31" s="35"/>
      <c r="C31" s="35"/>
      <c r="D31" s="35"/>
      <c r="E31" s="15"/>
      <c r="F31" s="22"/>
      <c r="G31" s="1">
        <v>20387</v>
      </c>
    </row>
    <row r="32" spans="1:9" ht="15.75" hidden="1" x14ac:dyDescent="0.25">
      <c r="A32" s="37" t="s">
        <v>37</v>
      </c>
      <c r="B32" s="35"/>
      <c r="C32" s="35"/>
      <c r="D32" s="35"/>
      <c r="E32" s="15"/>
      <c r="F32" s="22"/>
      <c r="G32" s="84">
        <f>'ТХ МКД'!B21/1000*0.0763</f>
        <v>9.4795120000000024E-2</v>
      </c>
    </row>
    <row r="33" spans="1:8" ht="15.75" hidden="1" customHeight="1" x14ac:dyDescent="0.25">
      <c r="A33" s="37" t="s">
        <v>83</v>
      </c>
      <c r="B33" s="35"/>
      <c r="C33" s="35"/>
      <c r="D33" s="35"/>
      <c r="E33" s="15"/>
      <c r="F33" s="22"/>
      <c r="G33" s="84">
        <f>G32*0.1546</f>
        <v>1.4655325552000003E-2</v>
      </c>
      <c r="H33" s="2"/>
    </row>
    <row r="34" spans="1:8" ht="15.75" hidden="1" x14ac:dyDescent="0.25">
      <c r="A34" s="37" t="s">
        <v>0</v>
      </c>
      <c r="B34" s="35"/>
      <c r="C34" s="35"/>
      <c r="D34" s="35"/>
      <c r="E34" s="15"/>
      <c r="F34" s="22"/>
      <c r="G34" s="101">
        <f>F15</f>
        <v>0</v>
      </c>
    </row>
    <row r="35" spans="1:8" ht="31.5" x14ac:dyDescent="0.25">
      <c r="A35" s="29" t="s">
        <v>8</v>
      </c>
      <c r="B35" s="15">
        <f>B36+B41+B46+B51+B56+B58+B60+B62</f>
        <v>0</v>
      </c>
      <c r="C35" s="15">
        <f>C36+C41+C46+C51+C56+C58+C60+C62</f>
        <v>490912.57406814204</v>
      </c>
      <c r="D35" s="15">
        <f>D36+D41+D46+D51+D56+D58+D60+D62</f>
        <v>442298.83</v>
      </c>
      <c r="E35" s="15">
        <f t="shared" si="1"/>
        <v>48613.744068142027</v>
      </c>
      <c r="F35" s="23"/>
      <c r="G35" s="103"/>
    </row>
    <row r="36" spans="1:8" ht="31.5" customHeight="1" x14ac:dyDescent="0.25">
      <c r="A36" s="31" t="s">
        <v>9</v>
      </c>
      <c r="B36" s="35">
        <f>F36</f>
        <v>0</v>
      </c>
      <c r="C36" s="35">
        <f>'калькуляция 01.10.21-31.12.21'!C36+'калькуляция 01.01.21-30.09.21'!C36</f>
        <v>66743.8385328</v>
      </c>
      <c r="D36" s="35">
        <v>1505</v>
      </c>
      <c r="E36" s="15">
        <f t="shared" si="1"/>
        <v>65238.8385328</v>
      </c>
      <c r="F36" s="22"/>
      <c r="G36" s="104" t="s">
        <v>141</v>
      </c>
      <c r="H36" s="1" t="s">
        <v>142</v>
      </c>
    </row>
    <row r="37" spans="1:8" ht="15.75" hidden="1" x14ac:dyDescent="0.25">
      <c r="A37" s="37" t="s">
        <v>36</v>
      </c>
      <c r="B37" s="35"/>
      <c r="C37" s="35"/>
      <c r="D37" s="35">
        <v>0</v>
      </c>
      <c r="E37" s="15"/>
      <c r="F37" s="22"/>
      <c r="G37" s="1">
        <v>23336</v>
      </c>
      <c r="H37" s="1">
        <v>23336</v>
      </c>
    </row>
    <row r="38" spans="1:8" ht="15.75" hidden="1" x14ac:dyDescent="0.25">
      <c r="A38" s="37" t="s">
        <v>37</v>
      </c>
      <c r="B38" s="35"/>
      <c r="C38" s="35"/>
      <c r="D38" s="35">
        <v>0</v>
      </c>
      <c r="E38" s="15"/>
      <c r="F38" s="22"/>
      <c r="G38" s="84">
        <f>'ТХ МКД'!B14/325</f>
        <v>0.29230769230769232</v>
      </c>
      <c r="H38" s="84">
        <f>('ТХ МКД'!B7+'ТХ МКД'!B28*0.5)*0.01631/1000</f>
        <v>9.106036100000002E-2</v>
      </c>
    </row>
    <row r="39" spans="1:8" ht="15.75" hidden="1" x14ac:dyDescent="0.25">
      <c r="A39" s="37" t="s">
        <v>38</v>
      </c>
      <c r="B39" s="35"/>
      <c r="C39" s="35"/>
      <c r="D39" s="35">
        <v>0</v>
      </c>
      <c r="E39" s="15"/>
      <c r="F39" s="22"/>
      <c r="G39" s="84">
        <f>G38*0.312746</f>
        <v>9.1418061538461548E-2</v>
      </c>
      <c r="H39" s="19">
        <f>H38*0.1819</f>
        <v>1.6563879665900005E-2</v>
      </c>
    </row>
    <row r="40" spans="1:8" ht="15.75" hidden="1" x14ac:dyDescent="0.25">
      <c r="A40" s="37" t="s">
        <v>0</v>
      </c>
      <c r="B40" s="35"/>
      <c r="C40" s="35"/>
      <c r="D40" s="35">
        <v>0</v>
      </c>
      <c r="E40" s="15"/>
      <c r="F40" s="22"/>
      <c r="G40" s="101">
        <f>G37*G38</f>
        <v>6821.292307692308</v>
      </c>
      <c r="H40" s="101">
        <f>H37*H38</f>
        <v>2124.9845842960003</v>
      </c>
    </row>
    <row r="41" spans="1:8" ht="15.75" x14ac:dyDescent="0.25">
      <c r="A41" s="31" t="s">
        <v>10</v>
      </c>
      <c r="B41" s="35">
        <f>F41</f>
        <v>0</v>
      </c>
      <c r="C41" s="35">
        <f>'калькуляция 01.10.21-31.12.21'!C41+'калькуляция 01.01.21-30.09.21'!C41</f>
        <v>22288.389807599997</v>
      </c>
      <c r="D41" s="35">
        <v>1493</v>
      </c>
      <c r="E41" s="15">
        <f t="shared" si="1"/>
        <v>20795.389807599997</v>
      </c>
      <c r="F41" s="22"/>
      <c r="G41" s="1" t="s">
        <v>141</v>
      </c>
      <c r="H41" s="1" t="s">
        <v>142</v>
      </c>
    </row>
    <row r="42" spans="1:8" ht="15.75" hidden="1" x14ac:dyDescent="0.25">
      <c r="A42" s="37" t="s">
        <v>36</v>
      </c>
      <c r="B42" s="35"/>
      <c r="C42" s="35"/>
      <c r="D42" s="35">
        <v>0</v>
      </c>
      <c r="E42" s="15"/>
      <c r="F42" s="130"/>
      <c r="G42" s="1">
        <v>23336</v>
      </c>
    </row>
    <row r="43" spans="1:8" ht="15.75" hidden="1" x14ac:dyDescent="0.25">
      <c r="A43" s="37" t="s">
        <v>37</v>
      </c>
      <c r="B43" s="35"/>
      <c r="C43" s="35"/>
      <c r="D43" s="35">
        <v>0</v>
      </c>
      <c r="E43" s="15"/>
      <c r="F43" s="130"/>
      <c r="G43" s="84">
        <f>('ТХ МКД'!B7+'ТХ МКД'!B28*0.5)/39000</f>
        <v>0.14315641025641027</v>
      </c>
    </row>
    <row r="44" spans="1:8" ht="15.75" hidden="1" x14ac:dyDescent="0.25">
      <c r="A44" s="37" t="s">
        <v>38</v>
      </c>
      <c r="B44" s="35"/>
      <c r="C44" s="35"/>
      <c r="D44" s="35">
        <v>0</v>
      </c>
      <c r="E44" s="15"/>
      <c r="F44" s="130"/>
      <c r="G44" s="84">
        <f>G43*0.3127</f>
        <v>4.4765009487179486E-2</v>
      </c>
    </row>
    <row r="45" spans="1:8" ht="15.75" hidden="1" x14ac:dyDescent="0.25">
      <c r="A45" s="37" t="s">
        <v>0</v>
      </c>
      <c r="B45" s="35"/>
      <c r="C45" s="35"/>
      <c r="D45" s="35">
        <v>0</v>
      </c>
      <c r="E45" s="15"/>
      <c r="F45" s="22"/>
      <c r="G45" s="101">
        <f>G42*G43</f>
        <v>3340.6979897435899</v>
      </c>
    </row>
    <row r="46" spans="1:8" ht="15.75" x14ac:dyDescent="0.25">
      <c r="A46" s="31" t="s">
        <v>11</v>
      </c>
      <c r="B46" s="35">
        <f>F46</f>
        <v>0</v>
      </c>
      <c r="C46" s="35">
        <f>'калькуляция 01.10.21-31.12.21'!C46+'калькуляция 01.01.21-30.09.21'!C46</f>
        <v>16068.149016542066</v>
      </c>
      <c r="D46" s="35">
        <v>3415</v>
      </c>
      <c r="E46" s="15">
        <f t="shared" si="1"/>
        <v>12653.149016542066</v>
      </c>
      <c r="F46" s="22"/>
      <c r="G46" s="107" t="s">
        <v>143</v>
      </c>
    </row>
    <row r="47" spans="1:8" ht="15.75" hidden="1" x14ac:dyDescent="0.25">
      <c r="A47" s="37" t="s">
        <v>36</v>
      </c>
      <c r="B47" s="35"/>
      <c r="C47" s="35"/>
      <c r="D47" s="35">
        <v>0</v>
      </c>
      <c r="E47" s="15"/>
      <c r="F47" s="22"/>
      <c r="G47" s="1">
        <v>22182</v>
      </c>
    </row>
    <row r="48" spans="1:8" ht="15.75" hidden="1" x14ac:dyDescent="0.25">
      <c r="A48" s="37" t="s">
        <v>37</v>
      </c>
      <c r="B48" s="35"/>
      <c r="C48" s="35"/>
      <c r="D48" s="35">
        <v>0</v>
      </c>
      <c r="E48" s="15"/>
      <c r="F48" s="22"/>
      <c r="G48" s="84">
        <f>'ТХ МКД'!B16/2250</f>
        <v>4.2222222222222223E-2</v>
      </c>
    </row>
    <row r="49" spans="1:7" ht="15.75" hidden="1" x14ac:dyDescent="0.25">
      <c r="A49" s="37" t="s">
        <v>38</v>
      </c>
      <c r="B49" s="35"/>
      <c r="C49" s="35"/>
      <c r="D49" s="35">
        <v>0</v>
      </c>
      <c r="E49" s="15"/>
      <c r="F49" s="22"/>
      <c r="G49" s="101">
        <f>G47*G48</f>
        <v>936.57333333333338</v>
      </c>
    </row>
    <row r="50" spans="1:7" ht="15.75" hidden="1" x14ac:dyDescent="0.25">
      <c r="A50" s="37" t="s">
        <v>0</v>
      </c>
      <c r="B50" s="35"/>
      <c r="C50" s="35"/>
      <c r="D50" s="35">
        <v>0</v>
      </c>
      <c r="E50" s="15"/>
      <c r="F50" s="22"/>
    </row>
    <row r="51" spans="1:7" ht="20.25" customHeight="1" x14ac:dyDescent="0.25">
      <c r="A51" s="32" t="s">
        <v>12</v>
      </c>
      <c r="B51" s="35">
        <f>F51</f>
        <v>0</v>
      </c>
      <c r="C51" s="35">
        <f>'калькуляция 01.10.21-31.12.21'!C51+'калькуляция 01.01.21-30.09.21'!C51</f>
        <v>6981.9018911999992</v>
      </c>
      <c r="D51" s="35">
        <v>1685.83</v>
      </c>
      <c r="E51" s="15">
        <f t="shared" si="1"/>
        <v>5296.0718911999993</v>
      </c>
      <c r="F51" s="22"/>
      <c r="G51" s="107" t="s">
        <v>144</v>
      </c>
    </row>
    <row r="52" spans="1:7" ht="15.75" hidden="1" x14ac:dyDescent="0.25">
      <c r="A52" s="37" t="s">
        <v>74</v>
      </c>
      <c r="B52" s="35"/>
      <c r="C52" s="35"/>
      <c r="D52" s="35"/>
      <c r="E52" s="15"/>
      <c r="F52" s="130"/>
      <c r="G52" s="1">
        <v>22182</v>
      </c>
    </row>
    <row r="53" spans="1:7" ht="15.75" hidden="1" x14ac:dyDescent="0.25">
      <c r="A53" s="37" t="s">
        <v>37</v>
      </c>
      <c r="B53" s="35"/>
      <c r="C53" s="35"/>
      <c r="D53" s="35"/>
      <c r="E53" s="15"/>
      <c r="F53" s="130"/>
      <c r="G53" s="1">
        <f>'ТХ МКД'!B12/1250</f>
        <v>7.5999999999999998E-2</v>
      </c>
    </row>
    <row r="54" spans="1:7" ht="15.75" hidden="1" x14ac:dyDescent="0.25">
      <c r="A54" s="37" t="s">
        <v>38</v>
      </c>
      <c r="B54" s="35"/>
      <c r="C54" s="35"/>
      <c r="D54" s="35"/>
      <c r="E54" s="15"/>
      <c r="F54" s="22"/>
      <c r="G54" s="84">
        <f>G53*0.3075</f>
        <v>2.3369999999999998E-2</v>
      </c>
    </row>
    <row r="55" spans="1:7" ht="15.75" hidden="1" x14ac:dyDescent="0.25">
      <c r="A55" s="37" t="s">
        <v>0</v>
      </c>
      <c r="B55" s="35"/>
      <c r="C55" s="35"/>
      <c r="D55" s="35"/>
      <c r="E55" s="15"/>
      <c r="F55" s="22"/>
      <c r="G55" s="101">
        <f>G52*G53</f>
        <v>1685.8319999999999</v>
      </c>
    </row>
    <row r="56" spans="1:7" ht="31.5" x14ac:dyDescent="0.25">
      <c r="A56" s="31" t="s">
        <v>13</v>
      </c>
      <c r="B56" s="35"/>
      <c r="C56" s="35">
        <f>C57</f>
        <v>330057.80585999996</v>
      </c>
      <c r="D56" s="35">
        <f>D57</f>
        <v>384000</v>
      </c>
      <c r="E56" s="15">
        <f>C56-D56</f>
        <v>-53942.194140000036</v>
      </c>
      <c r="F56" s="22">
        <f>'тариф с 01.01.2021'!C14</f>
        <v>32075.792099999999</v>
      </c>
    </row>
    <row r="57" spans="1:7" ht="15.75" x14ac:dyDescent="0.25">
      <c r="A57" s="38" t="s">
        <v>84</v>
      </c>
      <c r="B57" s="35"/>
      <c r="C57" s="35">
        <f>'калькуляция 01.10.21-31.12.21'!C56+'калькуляция 01.01.21-30.09.21'!C56</f>
        <v>330057.80585999996</v>
      </c>
      <c r="D57" s="35">
        <f>354000+6000+6000+6000+6000+6000</f>
        <v>384000</v>
      </c>
      <c r="E57" s="15"/>
      <c r="F57" s="22"/>
    </row>
    <row r="58" spans="1:7" ht="33.75" customHeight="1" x14ac:dyDescent="0.25">
      <c r="A58" s="31" t="s">
        <v>167</v>
      </c>
      <c r="B58" s="35"/>
      <c r="C58" s="35">
        <f>C59</f>
        <v>17210.006099999999</v>
      </c>
      <c r="D58" s="35">
        <f>D59</f>
        <v>0</v>
      </c>
      <c r="E58" s="15">
        <f t="shared" si="1"/>
        <v>17210.006099999999</v>
      </c>
      <c r="F58" s="22">
        <f>'тариф с 01.01.2021'!C15</f>
        <v>5736.6686999999993</v>
      </c>
    </row>
    <row r="59" spans="1:7" ht="18.75" customHeight="1" x14ac:dyDescent="0.25">
      <c r="A59" s="38" t="s">
        <v>189</v>
      </c>
      <c r="B59" s="35"/>
      <c r="C59" s="35">
        <f>'калькуляция 01.10.21-31.12.21'!C59</f>
        <v>17210.006099999999</v>
      </c>
      <c r="D59" s="35">
        <v>0</v>
      </c>
      <c r="E59" s="15"/>
      <c r="F59" s="22"/>
    </row>
    <row r="60" spans="1:7" ht="31.5" customHeight="1" x14ac:dyDescent="0.25">
      <c r="A60" s="31" t="s">
        <v>168</v>
      </c>
      <c r="B60" s="35"/>
      <c r="C60" s="35">
        <v>0</v>
      </c>
      <c r="D60" s="35">
        <v>0</v>
      </c>
      <c r="E60" s="15">
        <f t="shared" si="1"/>
        <v>0</v>
      </c>
      <c r="F60" s="22"/>
    </row>
    <row r="61" spans="1:7" ht="32.25" hidden="1" customHeight="1" x14ac:dyDescent="0.25">
      <c r="A61" s="38" t="s">
        <v>40</v>
      </c>
      <c r="B61" s="35"/>
      <c r="C61" s="35">
        <f t="shared" ref="C61:C71" si="3">B61*3</f>
        <v>0</v>
      </c>
      <c r="D61" s="35"/>
      <c r="E61" s="15">
        <f t="shared" si="1"/>
        <v>0</v>
      </c>
      <c r="F61" s="22"/>
    </row>
    <row r="62" spans="1:7" ht="17.25" customHeight="1" x14ac:dyDescent="0.25">
      <c r="A62" s="32" t="s">
        <v>16</v>
      </c>
      <c r="B62" s="35"/>
      <c r="C62" s="35">
        <f>C63</f>
        <v>31562.482859999996</v>
      </c>
      <c r="D62" s="35">
        <f>D63</f>
        <v>50200</v>
      </c>
      <c r="E62" s="15">
        <f t="shared" si="1"/>
        <v>-18637.517140000004</v>
      </c>
      <c r="F62" s="22">
        <f>'тариф с 01.01.2021'!C17</f>
        <v>3491.8628999999996</v>
      </c>
    </row>
    <row r="63" spans="1:7" ht="17.25" customHeight="1" x14ac:dyDescent="0.25">
      <c r="A63" s="39" t="s">
        <v>40</v>
      </c>
      <c r="B63" s="35"/>
      <c r="C63" s="35">
        <f>'калькуляция 01.10.21-31.12.21'!C62+'калькуляция 01.01.21-30.09.21'!C62</f>
        <v>31562.482859999996</v>
      </c>
      <c r="D63" s="35">
        <f>12300+12300+13300+12300</f>
        <v>50200</v>
      </c>
      <c r="E63" s="15"/>
      <c r="F63" s="22"/>
    </row>
    <row r="64" spans="1:7" ht="31.5" x14ac:dyDescent="0.25">
      <c r="A64" s="29" t="s">
        <v>17</v>
      </c>
      <c r="B64" s="16">
        <f>B65+B66+B71+B72+B77+B79</f>
        <v>0</v>
      </c>
      <c r="C64" s="15">
        <f>C65+C66+C71+C72+C77+C79</f>
        <v>264532.07009193551</v>
      </c>
      <c r="D64" s="16">
        <f t="shared" ref="D64" si="4">D65+D66+D71+D72+D77+D79</f>
        <v>164426.42062059033</v>
      </c>
      <c r="E64" s="15">
        <f t="shared" si="1"/>
        <v>100105.64947134518</v>
      </c>
      <c r="F64" s="22"/>
      <c r="G64" s="27"/>
    </row>
    <row r="65" spans="1:7" ht="15.75" x14ac:dyDescent="0.25">
      <c r="A65" s="31" t="s">
        <v>18</v>
      </c>
      <c r="B65" s="47"/>
      <c r="C65" s="35">
        <f t="shared" si="3"/>
        <v>0</v>
      </c>
      <c r="D65" s="35">
        <v>0</v>
      </c>
      <c r="E65" s="15">
        <f t="shared" si="1"/>
        <v>0</v>
      </c>
      <c r="F65" s="22"/>
    </row>
    <row r="66" spans="1:7" ht="17.25" customHeight="1" x14ac:dyDescent="0.25">
      <c r="A66" s="31" t="s">
        <v>19</v>
      </c>
      <c r="B66" s="35"/>
      <c r="C66" s="35">
        <f>'калькуляция 01.10.21-31.12.21'!C66+'калькуляция 01.01.21-30.09.21'!C66</f>
        <v>82975.904545390324</v>
      </c>
      <c r="D66" s="35">
        <v>82975.904545390324</v>
      </c>
      <c r="E66" s="15">
        <f t="shared" si="1"/>
        <v>0</v>
      </c>
      <c r="F66" s="22"/>
      <c r="G66" s="107" t="s">
        <v>145</v>
      </c>
    </row>
    <row r="67" spans="1:7" ht="15.75" hidden="1" x14ac:dyDescent="0.25">
      <c r="A67" s="37" t="s">
        <v>147</v>
      </c>
      <c r="B67" s="35"/>
      <c r="C67" s="35">
        <f>'калькуляция 01.10.21-31.12.21'!C67+'калькуляция 01.01.21-30.09.21'!C67</f>
        <v>59543.902628571428</v>
      </c>
      <c r="D67" s="35"/>
      <c r="E67" s="15"/>
      <c r="F67" s="22">
        <f>G69</f>
        <v>4961.9918857142857</v>
      </c>
      <c r="G67" s="1">
        <v>12822</v>
      </c>
    </row>
    <row r="68" spans="1:7" ht="15.75" hidden="1" x14ac:dyDescent="0.25">
      <c r="A68" s="37" t="s">
        <v>37</v>
      </c>
      <c r="B68" s="35"/>
      <c r="C68" s="35">
        <f>'калькуляция 01.10.21-31.12.21'!C68+'калькуляция 01.01.21-30.09.21'!C68</f>
        <v>17982.25859382857</v>
      </c>
      <c r="D68" s="35"/>
      <c r="E68" s="15"/>
      <c r="F68" s="22">
        <f>F67*0.302</f>
        <v>1498.5215494857143</v>
      </c>
      <c r="G68" s="105">
        <f>'ТХ МКД'!B30/5250</f>
        <v>0.38699047619047622</v>
      </c>
    </row>
    <row r="69" spans="1:7" ht="15.75" hidden="1" x14ac:dyDescent="0.25">
      <c r="A69" s="37" t="s">
        <v>38</v>
      </c>
      <c r="B69" s="35"/>
      <c r="C69" s="35">
        <f>'калькуляция 01.10.21-31.12.21'!C69+'калькуляция 01.01.21-30.09.21'!C69</f>
        <v>5449.7433229903254</v>
      </c>
      <c r="D69" s="35"/>
      <c r="E69" s="15"/>
      <c r="F69" s="22"/>
      <c r="G69" s="101">
        <f>G67*G68</f>
        <v>4961.9918857142857</v>
      </c>
    </row>
    <row r="70" spans="1:7" ht="15.75" hidden="1" x14ac:dyDescent="0.25">
      <c r="A70" s="37" t="s">
        <v>0</v>
      </c>
      <c r="B70" s="35"/>
      <c r="C70" s="35">
        <f>'калькуляция 01.10.21-31.12.21'!C70+'калькуляция 01.01.21-30.09.21'!C70</f>
        <v>0</v>
      </c>
      <c r="D70" s="35"/>
      <c r="E70" s="15"/>
      <c r="F70" s="22"/>
    </row>
    <row r="71" spans="1:7" ht="15.75" x14ac:dyDescent="0.25">
      <c r="A71" s="31" t="s">
        <v>20</v>
      </c>
      <c r="B71" s="35"/>
      <c r="C71" s="35">
        <f t="shared" si="3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/>
      <c r="C72" s="35">
        <f>'калькуляция 01.10.21-31.12.21'!C72+'калькуляция 01.01.21-30.09.21'!C72</f>
        <v>82780.980751345167</v>
      </c>
      <c r="D72" s="35">
        <f>SUM(D73:D76)</f>
        <v>0</v>
      </c>
      <c r="E72" s="15">
        <f t="shared" si="1"/>
        <v>82780.980751345167</v>
      </c>
      <c r="F72" s="22"/>
      <c r="G72" s="1" t="s">
        <v>146</v>
      </c>
    </row>
    <row r="73" spans="1:7" ht="31.5" hidden="1" x14ac:dyDescent="0.25">
      <c r="A73" s="37" t="s">
        <v>148</v>
      </c>
      <c r="B73" s="35"/>
      <c r="C73" s="35">
        <f>'калькуляция 01.10.21-31.12.21'!C73+'калькуляция 01.01.21-30.09.21'!C73</f>
        <v>57880.321212121213</v>
      </c>
      <c r="D73" s="35"/>
      <c r="E73" s="15"/>
      <c r="F73" s="22">
        <f>G75</f>
        <v>5176.2888888888892</v>
      </c>
      <c r="G73" s="1">
        <v>12822</v>
      </c>
    </row>
    <row r="74" spans="1:7" ht="15.75" hidden="1" x14ac:dyDescent="0.25">
      <c r="A74" s="37" t="s">
        <v>37</v>
      </c>
      <c r="B74" s="35"/>
      <c r="C74" s="35">
        <f>'калькуляция 01.10.21-31.12.21'!C74+'калькуляция 01.01.21-30.09.21'!C74</f>
        <v>17479.857006060607</v>
      </c>
      <c r="D74" s="35"/>
      <c r="E74" s="15"/>
      <c r="F74" s="22">
        <f>F73*0.302</f>
        <v>1563.2392444444445</v>
      </c>
      <c r="G74" s="84">
        <f>'ТХ МКД'!B18/540</f>
        <v>0.40370370370370373</v>
      </c>
    </row>
    <row r="75" spans="1:7" ht="15.75" hidden="1" x14ac:dyDescent="0.25">
      <c r="A75" s="37" t="s">
        <v>38</v>
      </c>
      <c r="B75" s="35"/>
      <c r="C75" s="35">
        <f>'калькуляция 01.10.21-31.12.21'!C75+'калькуляция 01.01.21-30.09.21'!C75</f>
        <v>7420.802533163348</v>
      </c>
      <c r="D75" s="35"/>
      <c r="E75" s="15"/>
      <c r="F75" s="22"/>
      <c r="G75" s="101">
        <f>G73*G74</f>
        <v>5176.2888888888892</v>
      </c>
    </row>
    <row r="76" spans="1:7" ht="15.75" hidden="1" x14ac:dyDescent="0.25">
      <c r="A76" s="37" t="s">
        <v>0</v>
      </c>
      <c r="B76" s="35"/>
      <c r="C76" s="35">
        <f>'калькуляция 01.10.21-31.12.21'!C76+'калькуляция 01.01.21-30.09.21'!C76</f>
        <v>0</v>
      </c>
      <c r="D76" s="35"/>
      <c r="E76" s="15"/>
      <c r="F76" s="22"/>
    </row>
    <row r="77" spans="1:7" ht="18" customHeight="1" x14ac:dyDescent="0.25">
      <c r="A77" s="31" t="s">
        <v>22</v>
      </c>
      <c r="B77" s="35"/>
      <c r="C77" s="35">
        <f>C78</f>
        <v>22894.668720000001</v>
      </c>
      <c r="D77" s="35">
        <f>D78</f>
        <v>5570</v>
      </c>
      <c r="E77" s="15">
        <f t="shared" ref="E77:E120" si="5">C77-D77</f>
        <v>17324.668720000001</v>
      </c>
      <c r="F77" s="22"/>
    </row>
    <row r="78" spans="1:7" ht="18" customHeight="1" x14ac:dyDescent="0.25">
      <c r="A78" s="38" t="s">
        <v>40</v>
      </c>
      <c r="B78" s="35"/>
      <c r="C78" s="35">
        <f>'калькуляция 01.10.21-31.12.21'!C77+'калькуляция 01.01.21-30.09.21'!C77</f>
        <v>22894.668720000001</v>
      </c>
      <c r="D78" s="35">
        <f>1114+1114+1114+1114+1114</f>
        <v>5570</v>
      </c>
      <c r="E78" s="15"/>
      <c r="F78" s="22"/>
    </row>
    <row r="79" spans="1:7" ht="18" customHeight="1" x14ac:dyDescent="0.25">
      <c r="A79" s="31" t="s">
        <v>23</v>
      </c>
      <c r="B79" s="35"/>
      <c r="C79" s="35">
        <f>'калькуляция 01.10.21-31.12.21'!C79+'калькуляция 01.01.21-30.09.21'!C79</f>
        <v>75880.516075199994</v>
      </c>
      <c r="D79" s="35">
        <v>75880.516075199994</v>
      </c>
      <c r="E79" s="15">
        <f t="shared" si="5"/>
        <v>0</v>
      </c>
      <c r="F79" s="22"/>
    </row>
    <row r="80" spans="1:7" ht="15.75" hidden="1" x14ac:dyDescent="0.25">
      <c r="A80" s="37" t="s">
        <v>36</v>
      </c>
      <c r="B80" s="35"/>
      <c r="C80" s="35">
        <f t="shared" ref="C80:C83" si="6">B80*3</f>
        <v>0</v>
      </c>
      <c r="D80" s="35"/>
      <c r="E80" s="15"/>
      <c r="F80" s="22"/>
    </row>
    <row r="81" spans="1:6" ht="15.75" hidden="1" x14ac:dyDescent="0.25">
      <c r="A81" s="37" t="s">
        <v>37</v>
      </c>
      <c r="B81" s="35"/>
      <c r="C81" s="35">
        <f t="shared" si="6"/>
        <v>0</v>
      </c>
      <c r="D81" s="35"/>
      <c r="E81" s="15"/>
      <c r="F81" s="22"/>
    </row>
    <row r="82" spans="1:6" ht="15.75" hidden="1" x14ac:dyDescent="0.25">
      <c r="A82" s="37" t="s">
        <v>38</v>
      </c>
      <c r="B82" s="35"/>
      <c r="C82" s="35">
        <f t="shared" si="6"/>
        <v>0</v>
      </c>
      <c r="D82" s="35"/>
      <c r="E82" s="15"/>
      <c r="F82" s="22"/>
    </row>
    <row r="83" spans="1:6" ht="15.75" hidden="1" x14ac:dyDescent="0.25">
      <c r="A83" s="37" t="s">
        <v>0</v>
      </c>
      <c r="B83" s="35"/>
      <c r="C83" s="35">
        <f t="shared" si="6"/>
        <v>0</v>
      </c>
      <c r="D83" s="35"/>
      <c r="E83" s="15"/>
      <c r="F83" s="22"/>
    </row>
    <row r="84" spans="1:6" ht="15.75" x14ac:dyDescent="0.25">
      <c r="A84" s="29" t="s">
        <v>24</v>
      </c>
      <c r="B84" s="15">
        <f>F84</f>
        <v>0</v>
      </c>
      <c r="C84" s="15">
        <f>'калькуляция 01.10.21-31.12.21'!C84+'калькуляция 01.01.21-30.09.21'!C84</f>
        <v>76179.636705600002</v>
      </c>
      <c r="D84" s="15">
        <v>76179.636705600002</v>
      </c>
      <c r="E84" s="15">
        <f t="shared" si="5"/>
        <v>0</v>
      </c>
      <c r="F84" s="22"/>
    </row>
    <row r="85" spans="1:6" ht="15.75" x14ac:dyDescent="0.25">
      <c r="A85" s="29" t="s">
        <v>25</v>
      </c>
      <c r="B85" s="15">
        <f>F85</f>
        <v>0</v>
      </c>
      <c r="C85" s="15">
        <f>'калькуляция 01.10.21-31.12.21'!C85+'калькуляция 01.01.21-30.09.21'!C85</f>
        <v>203831.16930360001</v>
      </c>
      <c r="D85" s="15">
        <f>203831.1693036+8570</f>
        <v>212401.16930360001</v>
      </c>
      <c r="E85" s="15">
        <f t="shared" si="5"/>
        <v>-8570</v>
      </c>
      <c r="F85" s="22"/>
    </row>
    <row r="86" spans="1:6" ht="17.25" hidden="1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hidden="1" x14ac:dyDescent="0.25">
      <c r="A87" s="70" t="s">
        <v>85</v>
      </c>
      <c r="B87" s="15"/>
      <c r="C87" s="35"/>
      <c r="D87" s="35">
        <f>F87*$D$121*6</f>
        <v>0</v>
      </c>
      <c r="E87" s="15"/>
      <c r="F87" s="50"/>
    </row>
    <row r="88" spans="1:6" ht="15.75" hidden="1" x14ac:dyDescent="0.25">
      <c r="A88" s="70" t="s">
        <v>37</v>
      </c>
      <c r="B88" s="15"/>
      <c r="C88" s="35"/>
      <c r="D88" s="35">
        <f>F88*$D$121*6</f>
        <v>0</v>
      </c>
      <c r="E88" s="15"/>
      <c r="F88" s="50"/>
    </row>
    <row r="89" spans="1:6" ht="15.75" hidden="1" x14ac:dyDescent="0.25">
      <c r="A89" s="70" t="s">
        <v>50</v>
      </c>
      <c r="B89" s="15"/>
      <c r="C89" s="35"/>
      <c r="D89" s="35">
        <f t="shared" ref="D89:D96" si="7">F89*$D$121*6</f>
        <v>0</v>
      </c>
      <c r="E89" s="15"/>
      <c r="F89" s="50"/>
    </row>
    <row r="90" spans="1:6" ht="15.75" hidden="1" x14ac:dyDescent="0.25">
      <c r="A90" s="70" t="s">
        <v>51</v>
      </c>
      <c r="B90" s="15"/>
      <c r="C90" s="35"/>
      <c r="D90" s="35">
        <f t="shared" si="7"/>
        <v>0</v>
      </c>
      <c r="E90" s="15"/>
      <c r="F90" s="50"/>
    </row>
    <row r="91" spans="1:6" ht="15.75" hidden="1" x14ac:dyDescent="0.25">
      <c r="A91" s="70" t="s">
        <v>76</v>
      </c>
      <c r="B91" s="15"/>
      <c r="C91" s="35"/>
      <c r="D91" s="35">
        <f t="shared" si="7"/>
        <v>0</v>
      </c>
      <c r="E91" s="15"/>
      <c r="F91" s="50"/>
    </row>
    <row r="92" spans="1:6" ht="15.75" hidden="1" x14ac:dyDescent="0.25">
      <c r="A92" s="70" t="s">
        <v>52</v>
      </c>
      <c r="B92" s="15"/>
      <c r="C92" s="35"/>
      <c r="D92" s="35">
        <f t="shared" si="7"/>
        <v>0</v>
      </c>
      <c r="E92" s="15"/>
      <c r="F92" s="50"/>
    </row>
    <row r="93" spans="1:6" ht="15.75" hidden="1" x14ac:dyDescent="0.25">
      <c r="A93" s="70" t="s">
        <v>77</v>
      </c>
      <c r="B93" s="15"/>
      <c r="C93" s="35"/>
      <c r="D93" s="35">
        <f t="shared" si="7"/>
        <v>0</v>
      </c>
      <c r="E93" s="15"/>
      <c r="F93" s="50"/>
    </row>
    <row r="94" spans="1:6" ht="15.75" hidden="1" x14ac:dyDescent="0.25">
      <c r="A94" s="70" t="s">
        <v>53</v>
      </c>
      <c r="B94" s="15"/>
      <c r="C94" s="35"/>
      <c r="D94" s="35">
        <f t="shared" si="7"/>
        <v>0</v>
      </c>
      <c r="E94" s="15"/>
      <c r="F94" s="50"/>
    </row>
    <row r="95" spans="1:6" ht="15.75" hidden="1" x14ac:dyDescent="0.25">
      <c r="A95" s="70" t="s">
        <v>54</v>
      </c>
      <c r="B95" s="15"/>
      <c r="C95" s="35"/>
      <c r="D95" s="35">
        <f t="shared" si="7"/>
        <v>0</v>
      </c>
      <c r="E95" s="15"/>
      <c r="F95" s="50"/>
    </row>
    <row r="96" spans="1:6" ht="15.75" hidden="1" x14ac:dyDescent="0.25">
      <c r="A96" s="70" t="s">
        <v>0</v>
      </c>
      <c r="B96" s="15"/>
      <c r="C96" s="35"/>
      <c r="D96" s="35">
        <f t="shared" si="7"/>
        <v>0</v>
      </c>
      <c r="E96" s="15"/>
      <c r="F96" s="50"/>
    </row>
    <row r="97" spans="1:6" ht="17.25" hidden="1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hidden="1" x14ac:dyDescent="0.25">
      <c r="A98" s="71" t="s">
        <v>86</v>
      </c>
      <c r="B98" s="15"/>
      <c r="C98" s="35"/>
      <c r="D98" s="35">
        <f>F98*$D$121*6</f>
        <v>0</v>
      </c>
      <c r="E98" s="15"/>
      <c r="F98" s="50"/>
    </row>
    <row r="99" spans="1:6" ht="15.75" hidden="1" x14ac:dyDescent="0.25">
      <c r="A99" s="71" t="s">
        <v>37</v>
      </c>
      <c r="B99" s="15"/>
      <c r="C99" s="35"/>
      <c r="D99" s="35">
        <f>F99*$D$121*6</f>
        <v>0</v>
      </c>
      <c r="E99" s="15"/>
      <c r="F99" s="50"/>
    </row>
    <row r="100" spans="1:6" ht="30" hidden="1" x14ac:dyDescent="0.25">
      <c r="A100" s="71" t="s">
        <v>55</v>
      </c>
      <c r="B100" s="15"/>
      <c r="C100" s="35"/>
      <c r="D100" s="35">
        <f t="shared" ref="D100:D116" si="8">F100*$D$121*6</f>
        <v>0</v>
      </c>
      <c r="E100" s="15"/>
      <c r="F100" s="50"/>
    </row>
    <row r="101" spans="1:6" ht="15.75" hidden="1" x14ac:dyDescent="0.25">
      <c r="A101" s="72" t="s">
        <v>56</v>
      </c>
      <c r="B101" s="15"/>
      <c r="C101" s="35"/>
      <c r="D101" s="35">
        <f t="shared" si="8"/>
        <v>0</v>
      </c>
      <c r="E101" s="15"/>
      <c r="F101" s="50"/>
    </row>
    <row r="102" spans="1:6" ht="15.75" hidden="1" x14ac:dyDescent="0.25">
      <c r="A102" s="72" t="s">
        <v>57</v>
      </c>
      <c r="B102" s="15"/>
      <c r="C102" s="35"/>
      <c r="D102" s="35">
        <f t="shared" si="8"/>
        <v>0</v>
      </c>
      <c r="E102" s="15"/>
      <c r="F102" s="50"/>
    </row>
    <row r="103" spans="1:6" ht="15.75" hidden="1" x14ac:dyDescent="0.25">
      <c r="A103" s="72" t="s">
        <v>58</v>
      </c>
      <c r="B103" s="15"/>
      <c r="C103" s="35"/>
      <c r="D103" s="35">
        <f t="shared" si="8"/>
        <v>0</v>
      </c>
      <c r="E103" s="15"/>
      <c r="F103" s="50"/>
    </row>
    <row r="104" spans="1:6" ht="15.75" hidden="1" x14ac:dyDescent="0.25">
      <c r="A104" s="72" t="s">
        <v>59</v>
      </c>
      <c r="B104" s="15"/>
      <c r="C104" s="35"/>
      <c r="D104" s="35">
        <f t="shared" si="8"/>
        <v>0</v>
      </c>
      <c r="E104" s="15"/>
      <c r="F104" s="50"/>
    </row>
    <row r="105" spans="1:6" ht="15.75" hidden="1" x14ac:dyDescent="0.25">
      <c r="A105" s="72" t="s">
        <v>60</v>
      </c>
      <c r="B105" s="15"/>
      <c r="C105" s="35"/>
      <c r="D105" s="35">
        <f t="shared" si="8"/>
        <v>0</v>
      </c>
      <c r="E105" s="15"/>
      <c r="F105" s="50"/>
    </row>
    <row r="106" spans="1:6" ht="15.75" hidden="1" x14ac:dyDescent="0.25">
      <c r="A106" s="72" t="s">
        <v>61</v>
      </c>
      <c r="B106" s="15"/>
      <c r="C106" s="35"/>
      <c r="D106" s="35">
        <f t="shared" si="8"/>
        <v>0</v>
      </c>
      <c r="E106" s="15"/>
      <c r="F106" s="50"/>
    </row>
    <row r="107" spans="1:6" ht="15.75" hidden="1" x14ac:dyDescent="0.25">
      <c r="A107" s="72" t="s">
        <v>62</v>
      </c>
      <c r="B107" s="15"/>
      <c r="C107" s="35"/>
      <c r="D107" s="35">
        <f t="shared" si="8"/>
        <v>0</v>
      </c>
      <c r="E107" s="15"/>
      <c r="F107" s="50"/>
    </row>
    <row r="108" spans="1:6" ht="15.75" hidden="1" x14ac:dyDescent="0.25">
      <c r="A108" s="73" t="s">
        <v>63</v>
      </c>
      <c r="B108" s="15"/>
      <c r="C108" s="35"/>
      <c r="D108" s="35">
        <f t="shared" si="8"/>
        <v>0</v>
      </c>
      <c r="E108" s="15"/>
      <c r="F108" s="50"/>
    </row>
    <row r="109" spans="1:6" ht="15.75" hidden="1" x14ac:dyDescent="0.25">
      <c r="A109" s="72" t="s">
        <v>64</v>
      </c>
      <c r="B109" s="15"/>
      <c r="C109" s="35"/>
      <c r="D109" s="35">
        <f t="shared" si="8"/>
        <v>0</v>
      </c>
      <c r="E109" s="15"/>
      <c r="F109" s="50"/>
    </row>
    <row r="110" spans="1:6" ht="15.75" hidden="1" x14ac:dyDescent="0.25">
      <c r="A110" s="72" t="s">
        <v>65</v>
      </c>
      <c r="B110" s="15"/>
      <c r="C110" s="35"/>
      <c r="D110" s="35">
        <f t="shared" si="8"/>
        <v>0</v>
      </c>
      <c r="E110" s="15"/>
      <c r="F110" s="50"/>
    </row>
    <row r="111" spans="1:6" ht="15.75" hidden="1" x14ac:dyDescent="0.25">
      <c r="A111" s="72" t="s">
        <v>78</v>
      </c>
      <c r="B111" s="15"/>
      <c r="C111" s="35"/>
      <c r="D111" s="35">
        <f t="shared" si="8"/>
        <v>0</v>
      </c>
      <c r="E111" s="15"/>
      <c r="F111" s="50"/>
    </row>
    <row r="112" spans="1:6" ht="15.75" hidden="1" x14ac:dyDescent="0.25">
      <c r="A112" s="73" t="s">
        <v>66</v>
      </c>
      <c r="B112" s="15"/>
      <c r="C112" s="35"/>
      <c r="D112" s="35">
        <f t="shared" si="8"/>
        <v>0</v>
      </c>
      <c r="E112" s="15"/>
      <c r="F112" s="50"/>
    </row>
    <row r="113" spans="1:8" ht="15.75" hidden="1" x14ac:dyDescent="0.25">
      <c r="A113" s="72" t="s">
        <v>67</v>
      </c>
      <c r="B113" s="15"/>
      <c r="C113" s="35"/>
      <c r="D113" s="35">
        <f t="shared" si="8"/>
        <v>0</v>
      </c>
      <c r="E113" s="15"/>
      <c r="F113" s="50"/>
    </row>
    <row r="114" spans="1:8" ht="25.5" hidden="1" x14ac:dyDescent="0.25">
      <c r="A114" s="72" t="s">
        <v>79</v>
      </c>
      <c r="B114" s="15"/>
      <c r="C114" s="35"/>
      <c r="D114" s="35">
        <f t="shared" si="8"/>
        <v>0</v>
      </c>
      <c r="E114" s="15"/>
      <c r="F114" s="50"/>
    </row>
    <row r="115" spans="1:8" ht="15.75" hidden="1" x14ac:dyDescent="0.25">
      <c r="A115" s="73" t="s">
        <v>68</v>
      </c>
      <c r="B115" s="15"/>
      <c r="C115" s="35"/>
      <c r="D115" s="35">
        <f t="shared" si="8"/>
        <v>0</v>
      </c>
      <c r="E115" s="15"/>
      <c r="F115" s="50"/>
      <c r="G115" s="139"/>
      <c r="H115" s="139"/>
    </row>
    <row r="116" spans="1:8" ht="17.25" hidden="1" customHeight="1" x14ac:dyDescent="0.25">
      <c r="A116" s="136" t="s">
        <v>69</v>
      </c>
      <c r="B116" s="137"/>
      <c r="C116" s="35"/>
      <c r="D116" s="35">
        <f t="shared" si="8"/>
        <v>0</v>
      </c>
      <c r="E116" s="15"/>
      <c r="F116" s="50"/>
      <c r="G116" s="139"/>
      <c r="H116" s="139"/>
    </row>
    <row r="117" spans="1:8" ht="46.5" customHeight="1" x14ac:dyDescent="0.25">
      <c r="A117" s="118" t="s">
        <v>180</v>
      </c>
      <c r="B117" s="142">
        <f>B118+B119</f>
        <v>0</v>
      </c>
      <c r="C117" s="142">
        <f>C118+C119</f>
        <v>74028.166379999995</v>
      </c>
      <c r="D117" s="142">
        <f t="shared" ref="D117" si="9">D118+D119</f>
        <v>75416.61</v>
      </c>
      <c r="E117" s="138"/>
      <c r="F117" s="103"/>
      <c r="G117" s="50"/>
      <c r="H117" s="139"/>
    </row>
    <row r="118" spans="1:8" ht="17.25" customHeight="1" x14ac:dyDescent="0.25">
      <c r="A118" s="118" t="s">
        <v>181</v>
      </c>
      <c r="B118" s="143"/>
      <c r="C118" s="144">
        <f>'калькуляция 01.01.21-30.09.21'!C58</f>
        <v>74028.166379999995</v>
      </c>
      <c r="D118" s="145">
        <v>53249.18</v>
      </c>
      <c r="E118" s="35"/>
      <c r="F118" s="103"/>
      <c r="G118" s="50"/>
      <c r="H118" s="139"/>
    </row>
    <row r="119" spans="1:8" ht="17.25" customHeight="1" x14ac:dyDescent="0.25">
      <c r="A119" s="118" t="s">
        <v>182</v>
      </c>
      <c r="B119" s="144"/>
      <c r="C119" s="145"/>
      <c r="D119" s="145">
        <v>22167.43</v>
      </c>
      <c r="E119" s="15"/>
      <c r="F119" s="50"/>
      <c r="G119" s="139"/>
      <c r="H119" s="139"/>
    </row>
    <row r="120" spans="1:8" ht="18" customHeight="1" x14ac:dyDescent="0.25">
      <c r="A120" s="33" t="s">
        <v>35</v>
      </c>
      <c r="B120" s="17"/>
      <c r="C120" s="17">
        <f>C85+C84+C64+C35+C9+C117</f>
        <v>1155541.2107224574</v>
      </c>
      <c r="D120" s="17">
        <f>D85+D84+D64+D35+D9+D118+D119</f>
        <v>970722.66662979044</v>
      </c>
      <c r="E120" s="15">
        <f t="shared" si="5"/>
        <v>184818.54409266694</v>
      </c>
      <c r="F120" s="140"/>
      <c r="G120" s="140"/>
      <c r="H120" s="139"/>
    </row>
    <row r="121" spans="1:8" ht="16.5" customHeight="1" x14ac:dyDescent="0.25">
      <c r="A121" s="29" t="s">
        <v>27</v>
      </c>
      <c r="B121" s="28">
        <f>'ТХ МКД'!D8</f>
        <v>5151</v>
      </c>
      <c r="C121" s="28">
        <f>'ТХ МКД'!D8</f>
        <v>5151</v>
      </c>
      <c r="D121" s="28">
        <f>'ТХ МКД'!D8</f>
        <v>5151</v>
      </c>
      <c r="E121" s="28"/>
      <c r="F121" s="140"/>
      <c r="G121" s="139"/>
      <c r="H121" s="139"/>
    </row>
    <row r="122" spans="1:8" ht="15.75" x14ac:dyDescent="0.25">
      <c r="A122" s="40" t="s">
        <v>39</v>
      </c>
      <c r="B122" s="41">
        <f>B120/B121</f>
        <v>0</v>
      </c>
      <c r="C122" s="41">
        <f>C120/C121/12</f>
        <v>18.694447853530988</v>
      </c>
      <c r="D122" s="41"/>
      <c r="E122" s="41"/>
      <c r="F122" s="141"/>
      <c r="G122" s="139"/>
      <c r="H122" s="139"/>
    </row>
    <row r="123" spans="1:8" ht="15.75" x14ac:dyDescent="0.25">
      <c r="A123" s="42"/>
      <c r="B123" s="49"/>
      <c r="C123" s="49"/>
      <c r="D123" s="49"/>
      <c r="E123" s="49"/>
      <c r="F123" s="141"/>
      <c r="G123" s="139"/>
      <c r="H123" s="139"/>
    </row>
    <row r="124" spans="1:8" ht="15.75" hidden="1" x14ac:dyDescent="0.25">
      <c r="A124" s="42"/>
      <c r="B124" s="49"/>
      <c r="C124" s="49"/>
      <c r="D124" s="49"/>
      <c r="E124" s="49"/>
      <c r="F124" s="19"/>
    </row>
    <row r="125" spans="1:8" ht="18.75" hidden="1" x14ac:dyDescent="0.3">
      <c r="A125" s="45" t="s">
        <v>48</v>
      </c>
      <c r="B125" s="1" t="s">
        <v>32</v>
      </c>
      <c r="C125" s="46"/>
      <c r="D125" s="46"/>
      <c r="E125" s="46"/>
      <c r="F125" s="1"/>
    </row>
    <row r="126" spans="1:8" ht="15.75" x14ac:dyDescent="0.25">
      <c r="A126" s="30"/>
      <c r="B126" s="48"/>
      <c r="C126" s="48"/>
      <c r="D126" s="48"/>
      <c r="E126" s="48"/>
    </row>
    <row r="127" spans="1:8" ht="15.75" x14ac:dyDescent="0.25">
      <c r="A127" s="13" t="s">
        <v>31</v>
      </c>
      <c r="B127" s="44" t="s">
        <v>46</v>
      </c>
      <c r="D127" s="44" t="s">
        <v>33</v>
      </c>
      <c r="E127" s="44"/>
    </row>
    <row r="128" spans="1:8" ht="15.75" x14ac:dyDescent="0.25">
      <c r="A128" s="30"/>
      <c r="B128" s="48"/>
      <c r="C128" s="48"/>
      <c r="D128" s="48"/>
      <c r="E128" s="48"/>
    </row>
  </sheetData>
  <mergeCells count="6">
    <mergeCell ref="A2:D2"/>
    <mergeCell ref="A1:D1"/>
    <mergeCell ref="A5:A7"/>
    <mergeCell ref="B5:C5"/>
    <mergeCell ref="A3:D3"/>
    <mergeCell ref="B4:D4"/>
  </mergeCells>
  <pageMargins left="0.7" right="0.7" top="0.75" bottom="0.75" header="0.3" footer="0.3"/>
  <pageSetup paperSize="9" scale="7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opLeftCell="A89" zoomScaleNormal="100" workbookViewId="0">
      <selection activeCell="C11" sqref="C11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2.855468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68" t="s">
        <v>47</v>
      </c>
      <c r="B1" s="48"/>
      <c r="C1" s="48"/>
      <c r="D1" s="48"/>
      <c r="E1" s="48"/>
    </row>
    <row r="2" spans="1:10" ht="26.25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46" t="s">
        <v>188</v>
      </c>
      <c r="B3" s="146"/>
      <c r="C3" s="146"/>
      <c r="D3" s="146"/>
      <c r="E3" s="146"/>
      <c r="F3" s="20"/>
    </row>
    <row r="4" spans="1:10" ht="22.5" customHeight="1" x14ac:dyDescent="0.25">
      <c r="A4" s="57" t="s">
        <v>1</v>
      </c>
      <c r="B4" s="147" t="str">
        <f>'тариф 20-19'!B2</f>
        <v>Тимирязева, 27 /2/3/4/5/6</v>
      </c>
      <c r="C4" s="148"/>
      <c r="D4" s="148"/>
      <c r="E4" s="149"/>
      <c r="F4" s="25"/>
    </row>
    <row r="5" spans="1:10" ht="20.25" customHeight="1" x14ac:dyDescent="0.25">
      <c r="A5" s="150" t="s">
        <v>30</v>
      </c>
      <c r="B5" s="153" t="s">
        <v>44</v>
      </c>
      <c r="C5" s="154"/>
      <c r="D5" s="51" t="s">
        <v>45</v>
      </c>
      <c r="E5" s="51" t="s">
        <v>72</v>
      </c>
    </row>
    <row r="6" spans="1:10" ht="18" customHeight="1" x14ac:dyDescent="0.25">
      <c r="A6" s="151"/>
      <c r="B6" s="24" t="s">
        <v>43</v>
      </c>
      <c r="C6" s="24" t="s">
        <v>190</v>
      </c>
      <c r="D6" s="24" t="s">
        <v>190</v>
      </c>
      <c r="E6" s="24" t="s">
        <v>73</v>
      </c>
      <c r="F6" s="26"/>
    </row>
    <row r="7" spans="1:10" ht="15.75" x14ac:dyDescent="0.25">
      <c r="A7" s="152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6427.6360310599121</v>
      </c>
      <c r="C9" s="15">
        <f>C10+C15+C20+C25+C30</f>
        <v>19282.908093179736</v>
      </c>
      <c r="D9" s="15">
        <f t="shared" ref="D9" si="0">D10+D15+D20+D25+D30</f>
        <v>0</v>
      </c>
      <c r="E9" s="15">
        <f>C9-D9</f>
        <v>19282.908093179736</v>
      </c>
      <c r="F9" s="23">
        <f>F10+F15+F20+F25+F30</f>
        <v>6427.6360310599121</v>
      </c>
      <c r="G9" s="106">
        <v>0</v>
      </c>
    </row>
    <row r="10" spans="1:10" ht="63.75" customHeight="1" x14ac:dyDescent="0.25">
      <c r="A10" s="31" t="s">
        <v>3</v>
      </c>
      <c r="B10" s="35">
        <f>F10</f>
        <v>944.50590360000012</v>
      </c>
      <c r="C10" s="35">
        <f>B10*3</f>
        <v>2833.5177108000003</v>
      </c>
      <c r="D10" s="35">
        <f>SUM(D11:D14)</f>
        <v>0</v>
      </c>
      <c r="E10" s="15">
        <f t="shared" ref="E10:E72" si="1">C10-D10</f>
        <v>2833.5177108000003</v>
      </c>
      <c r="F10" s="22">
        <f>'тариф с 01.01.2021'!C4</f>
        <v>944.50590360000012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>
        <f t="shared" ref="C11:C74" si="2">B11*3</f>
        <v>0</v>
      </c>
      <c r="D11" s="35">
        <v>0</v>
      </c>
      <c r="E11" s="15"/>
      <c r="F11" s="130">
        <f>(G14+H14)</f>
        <v>227.09508547697817</v>
      </c>
      <c r="G11" s="18">
        <v>20387</v>
      </c>
      <c r="H11" s="1">
        <v>22182</v>
      </c>
      <c r="J11" s="18"/>
    </row>
    <row r="12" spans="1:10" ht="14.25" customHeight="1" x14ac:dyDescent="0.25">
      <c r="A12" s="36" t="s">
        <v>37</v>
      </c>
      <c r="B12" s="35"/>
      <c r="C12" s="35">
        <f t="shared" si="2"/>
        <v>0</v>
      </c>
      <c r="D12" s="35">
        <v>0</v>
      </c>
      <c r="E12" s="15"/>
      <c r="F12" s="130">
        <f>F11*0.302</f>
        <v>68.582715814047404</v>
      </c>
      <c r="G12" s="84">
        <f>('ТХ МКД'!B7+'ТХ МКД'!B28*0.5)*0.0111/1000</f>
        <v>6.1972410000000006E-2</v>
      </c>
      <c r="H12" s="84">
        <f>('ТХ МКД'!B7+'ТХ МКД'!B28*0.5)*0.00539/1000</f>
        <v>3.0092909000000001E-2</v>
      </c>
      <c r="I12" s="100"/>
    </row>
    <row r="13" spans="1:10" ht="14.25" customHeight="1" x14ac:dyDescent="0.25">
      <c r="A13" s="36" t="s">
        <v>38</v>
      </c>
      <c r="B13" s="35"/>
      <c r="C13" s="35">
        <f t="shared" si="2"/>
        <v>0</v>
      </c>
      <c r="D13" s="35">
        <v>0</v>
      </c>
      <c r="E13" s="15"/>
      <c r="F13" s="130">
        <f>F10-F11-F12</f>
        <v>648.82810230897451</v>
      </c>
      <c r="G13" s="84">
        <f>G12*0.109</f>
        <v>6.7549926900000003E-3</v>
      </c>
      <c r="H13" s="84">
        <f>H12*0.1339</f>
        <v>4.0294405150999996E-3</v>
      </c>
    </row>
    <row r="14" spans="1:10" ht="14.25" customHeight="1" x14ac:dyDescent="0.25">
      <c r="A14" s="36" t="s">
        <v>0</v>
      </c>
      <c r="B14" s="35"/>
      <c r="C14" s="35">
        <f t="shared" si="2"/>
        <v>0</v>
      </c>
      <c r="D14" s="35">
        <v>0</v>
      </c>
      <c r="E14" s="15"/>
      <c r="F14" s="22"/>
      <c r="G14" s="101">
        <f>G11*G13</f>
        <v>137.71403597103</v>
      </c>
      <c r="H14" s="101">
        <f>H11*H13</f>
        <v>89.381049505948184</v>
      </c>
    </row>
    <row r="15" spans="1:10" ht="33.75" customHeight="1" x14ac:dyDescent="0.25">
      <c r="A15" s="31" t="s">
        <v>4</v>
      </c>
      <c r="B15" s="35">
        <f>F15</f>
        <v>2300.302674</v>
      </c>
      <c r="C15" s="35">
        <f t="shared" si="2"/>
        <v>6900.9080219999996</v>
      </c>
      <c r="D15" s="35">
        <f>SUM(D16:D19)</f>
        <v>0</v>
      </c>
      <c r="E15" s="15">
        <f t="shared" si="1"/>
        <v>6900.9080219999996</v>
      </c>
      <c r="F15" s="22">
        <f>'тариф с 01.01.2021'!C5</f>
        <v>2300.302674</v>
      </c>
      <c r="G15" s="107" t="s">
        <v>135</v>
      </c>
      <c r="H15" s="107" t="s">
        <v>136</v>
      </c>
      <c r="I15" s="107" t="s">
        <v>137</v>
      </c>
    </row>
    <row r="16" spans="1:10" ht="15.75" customHeight="1" x14ac:dyDescent="0.25">
      <c r="A16" s="38" t="s">
        <v>36</v>
      </c>
      <c r="B16" s="35"/>
      <c r="C16" s="35">
        <f t="shared" si="2"/>
        <v>0</v>
      </c>
      <c r="D16" s="35">
        <v>0</v>
      </c>
      <c r="E16" s="15"/>
      <c r="F16" s="22">
        <f>G19+H19</f>
        <v>810.94760178484057</v>
      </c>
      <c r="G16" s="1">
        <v>22182</v>
      </c>
      <c r="H16" s="1">
        <v>20387</v>
      </c>
      <c r="I16" s="1">
        <v>17438</v>
      </c>
    </row>
    <row r="17" spans="1:9" ht="17.25" customHeight="1" x14ac:dyDescent="0.25">
      <c r="A17" s="37" t="s">
        <v>37</v>
      </c>
      <c r="B17" s="35"/>
      <c r="C17" s="35">
        <f t="shared" si="2"/>
        <v>0</v>
      </c>
      <c r="D17" s="35">
        <v>0</v>
      </c>
      <c r="E17" s="15"/>
      <c r="F17" s="22">
        <f>F16*0.302</f>
        <v>244.90617573902185</v>
      </c>
      <c r="G17" s="84">
        <f>('ТХ МКД'!B7+'ТХ МКД'!B28*0.5)*0.0018/1000</f>
        <v>1.0049580000000001E-2</v>
      </c>
      <c r="H17" s="84">
        <f>('ТХ МКД'!B7+'ТХ МКД'!B28*0.5)*0.02295/1000</f>
        <v>0.128132145</v>
      </c>
      <c r="I17" s="84">
        <f>('ТХ МКД'!B7+'ТХ МКД'!B28*0.5)*0.02295/1000</f>
        <v>0.128132145</v>
      </c>
    </row>
    <row r="18" spans="1:9" ht="17.25" customHeight="1" x14ac:dyDescent="0.25">
      <c r="A18" s="37" t="s">
        <v>38</v>
      </c>
      <c r="B18" s="35"/>
      <c r="C18" s="35">
        <f t="shared" si="2"/>
        <v>0</v>
      </c>
      <c r="D18" s="35">
        <v>0</v>
      </c>
      <c r="E18" s="15"/>
      <c r="F18" s="22">
        <f>F15-F16-F17</f>
        <v>1244.4488964761376</v>
      </c>
      <c r="G18" s="84">
        <f>G17*0.5079</f>
        <v>5.1041816820000009E-3</v>
      </c>
      <c r="H18" s="84">
        <f>H17*0.2671</f>
        <v>3.4224095929500001E-2</v>
      </c>
      <c r="I18" s="18"/>
    </row>
    <row r="19" spans="1:9" ht="17.25" customHeight="1" x14ac:dyDescent="0.25">
      <c r="A19" s="37" t="s">
        <v>0</v>
      </c>
      <c r="B19" s="35"/>
      <c r="C19" s="35">
        <f t="shared" si="2"/>
        <v>0</v>
      </c>
      <c r="D19" s="35">
        <v>0</v>
      </c>
      <c r="E19" s="15"/>
      <c r="F19" s="22"/>
      <c r="G19" s="101">
        <f>G16*G18</f>
        <v>113.22095807012403</v>
      </c>
      <c r="H19" s="101">
        <f>H16*H18</f>
        <v>697.72664371471649</v>
      </c>
      <c r="I19" s="102">
        <f>I18/2</f>
        <v>0</v>
      </c>
    </row>
    <row r="20" spans="1:9" ht="63.75" customHeight="1" x14ac:dyDescent="0.25">
      <c r="A20" s="31" t="s">
        <v>5</v>
      </c>
      <c r="B20" s="35">
        <f>F20</f>
        <v>441.09455280000003</v>
      </c>
      <c r="C20" s="35">
        <f t="shared" si="2"/>
        <v>1323.2836584000001</v>
      </c>
      <c r="D20" s="35">
        <f>SUM(D21:D24)</f>
        <v>0</v>
      </c>
      <c r="E20" s="15">
        <f t="shared" si="1"/>
        <v>1323.2836584000001</v>
      </c>
      <c r="F20" s="22">
        <f>'тариф с 01.01.2021'!C6</f>
        <v>441.09455280000003</v>
      </c>
      <c r="G20" s="107" t="s">
        <v>138</v>
      </c>
    </row>
    <row r="21" spans="1:9" ht="15.75" x14ac:dyDescent="0.25">
      <c r="A21" s="37" t="s">
        <v>36</v>
      </c>
      <c r="B21" s="35"/>
      <c r="C21" s="35">
        <f t="shared" si="2"/>
        <v>0</v>
      </c>
      <c r="D21" s="35">
        <v>0</v>
      </c>
      <c r="E21" s="15"/>
      <c r="F21" s="130">
        <f>G24</f>
        <v>120.48083000181121</v>
      </c>
      <c r="G21" s="1">
        <v>20387</v>
      </c>
    </row>
    <row r="22" spans="1:9" ht="15.75" x14ac:dyDescent="0.25">
      <c r="A22" s="37" t="s">
        <v>37</v>
      </c>
      <c r="B22" s="35"/>
      <c r="C22" s="35">
        <f t="shared" si="2"/>
        <v>0</v>
      </c>
      <c r="D22" s="35">
        <v>0</v>
      </c>
      <c r="E22" s="15"/>
      <c r="F22" s="130">
        <f>F21*0.302</f>
        <v>36.385210660546988</v>
      </c>
      <c r="G22" s="84">
        <f>('ТХ МКД'!B7+'ТХ МКД'!B28*0.5)*0.00888/1000</f>
        <v>4.9577928000000007E-2</v>
      </c>
    </row>
    <row r="23" spans="1:9" ht="15.75" x14ac:dyDescent="0.25">
      <c r="A23" s="37" t="s">
        <v>38</v>
      </c>
      <c r="B23" s="35"/>
      <c r="C23" s="35">
        <f t="shared" si="2"/>
        <v>0</v>
      </c>
      <c r="D23" s="35">
        <v>0</v>
      </c>
      <c r="E23" s="15"/>
      <c r="F23" s="130">
        <f>F20-F21-F22</f>
        <v>284.22851213764181</v>
      </c>
      <c r="G23" s="84">
        <f>G22*0.1192</f>
        <v>5.9096890176000005E-3</v>
      </c>
      <c r="H23" s="2"/>
    </row>
    <row r="24" spans="1:9" ht="15.75" x14ac:dyDescent="0.25">
      <c r="A24" s="37" t="s">
        <v>0</v>
      </c>
      <c r="B24" s="35"/>
      <c r="C24" s="35">
        <f t="shared" si="2"/>
        <v>0</v>
      </c>
      <c r="D24" s="35">
        <v>0</v>
      </c>
      <c r="E24" s="15"/>
      <c r="F24" s="22"/>
      <c r="G24" s="101">
        <f>G21*G23</f>
        <v>120.48083000181121</v>
      </c>
    </row>
    <row r="25" spans="1:9" ht="15.75" x14ac:dyDescent="0.25">
      <c r="A25" s="31" t="s">
        <v>6</v>
      </c>
      <c r="B25" s="35">
        <f>F25</f>
        <v>495.12234993991194</v>
      </c>
      <c r="C25" s="35">
        <f t="shared" si="2"/>
        <v>1485.3670498197357</v>
      </c>
      <c r="D25" s="35">
        <f>SUM(D26:D29)</f>
        <v>0</v>
      </c>
      <c r="E25" s="15">
        <f t="shared" si="1"/>
        <v>1485.3670498197357</v>
      </c>
      <c r="F25" s="22">
        <f>'тариф с 01.01.2021'!C7</f>
        <v>495.12234993991194</v>
      </c>
      <c r="G25" s="107" t="s">
        <v>139</v>
      </c>
    </row>
    <row r="26" spans="1:9" ht="15.75" x14ac:dyDescent="0.25">
      <c r="A26" s="37" t="s">
        <v>36</v>
      </c>
      <c r="B26" s="35"/>
      <c r="C26" s="35">
        <f t="shared" si="2"/>
        <v>0</v>
      </c>
      <c r="D26" s="35">
        <v>0</v>
      </c>
      <c r="E26" s="15"/>
      <c r="F26" s="22">
        <f>G28</f>
        <v>357.72149087999998</v>
      </c>
      <c r="G26" s="1">
        <v>12822</v>
      </c>
    </row>
    <row r="27" spans="1:9" ht="15.75" x14ac:dyDescent="0.25">
      <c r="A27" s="37" t="s">
        <v>37</v>
      </c>
      <c r="B27" s="35"/>
      <c r="C27" s="35">
        <f t="shared" si="2"/>
        <v>0</v>
      </c>
      <c r="D27" s="35">
        <v>0</v>
      </c>
      <c r="E27" s="15"/>
      <c r="F27" s="22">
        <f>F26*0.302</f>
        <v>108.03189024576</v>
      </c>
      <c r="G27" s="84">
        <f>'ТХ МКД'!B27*0.0263/1000</f>
        <v>2.789904E-2</v>
      </c>
    </row>
    <row r="28" spans="1:9" ht="15.75" x14ac:dyDescent="0.25">
      <c r="A28" s="37" t="s">
        <v>38</v>
      </c>
      <c r="B28" s="35"/>
      <c r="C28" s="35">
        <f t="shared" si="2"/>
        <v>0</v>
      </c>
      <c r="D28" s="35">
        <v>0</v>
      </c>
      <c r="E28" s="15"/>
      <c r="F28" s="22">
        <f>F25-F26-F27</f>
        <v>29.36896881415197</v>
      </c>
      <c r="G28" s="101">
        <f>G26*G27</f>
        <v>357.72149087999998</v>
      </c>
      <c r="H28" s="2"/>
    </row>
    <row r="29" spans="1:9" ht="15.75" x14ac:dyDescent="0.25">
      <c r="A29" s="37" t="s">
        <v>0</v>
      </c>
      <c r="B29" s="35"/>
      <c r="C29" s="35">
        <f t="shared" si="2"/>
        <v>0</v>
      </c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2246.6105507200004</v>
      </c>
      <c r="C30" s="35">
        <f t="shared" si="2"/>
        <v>6739.8316521600009</v>
      </c>
      <c r="D30" s="35">
        <f>SUM(D31:D34)</f>
        <v>0</v>
      </c>
      <c r="E30" s="15">
        <f t="shared" si="1"/>
        <v>6739.8316521600009</v>
      </c>
      <c r="F30" s="22">
        <f>'тариф с 01.01.2021'!C8</f>
        <v>2246.6105507200004</v>
      </c>
      <c r="G30" s="107" t="s">
        <v>140</v>
      </c>
    </row>
    <row r="31" spans="1:9" ht="15.75" x14ac:dyDescent="0.25">
      <c r="A31" s="37" t="s">
        <v>36</v>
      </c>
      <c r="B31" s="35"/>
      <c r="C31" s="35">
        <f t="shared" si="2"/>
        <v>0</v>
      </c>
      <c r="D31" s="35"/>
      <c r="E31" s="15"/>
      <c r="F31" s="22">
        <f>G34</f>
        <v>298.77812202862407</v>
      </c>
      <c r="G31" s="1">
        <v>20387</v>
      </c>
    </row>
    <row r="32" spans="1:9" ht="15.75" x14ac:dyDescent="0.25">
      <c r="A32" s="37" t="s">
        <v>37</v>
      </c>
      <c r="B32" s="35"/>
      <c r="C32" s="35">
        <f t="shared" si="2"/>
        <v>0</v>
      </c>
      <c r="D32" s="35"/>
      <c r="E32" s="15"/>
      <c r="F32" s="22">
        <f>F31*0.302</f>
        <v>90.230992852644462</v>
      </c>
      <c r="G32" s="84">
        <f>'ТХ МКД'!B21/1000*0.0763</f>
        <v>9.4795120000000024E-2</v>
      </c>
    </row>
    <row r="33" spans="1:8" ht="15.75" customHeight="1" x14ac:dyDescent="0.25">
      <c r="A33" s="37" t="s">
        <v>83</v>
      </c>
      <c r="B33" s="35"/>
      <c r="C33" s="35">
        <f t="shared" si="2"/>
        <v>0</v>
      </c>
      <c r="D33" s="35"/>
      <c r="E33" s="15"/>
      <c r="F33" s="22">
        <f>F30-F31-F32</f>
        <v>1857.601435838732</v>
      </c>
      <c r="G33" s="84">
        <f>G32*0.1546</f>
        <v>1.4655325552000003E-2</v>
      </c>
      <c r="H33" s="2"/>
    </row>
    <row r="34" spans="1:8" ht="15.75" x14ac:dyDescent="0.25">
      <c r="A34" s="37" t="s">
        <v>0</v>
      </c>
      <c r="B34" s="35"/>
      <c r="C34" s="35">
        <f t="shared" si="2"/>
        <v>0</v>
      </c>
      <c r="D34" s="35"/>
      <c r="E34" s="15"/>
      <c r="F34" s="22"/>
      <c r="G34" s="101">
        <f>G31*G33</f>
        <v>298.77812202862407</v>
      </c>
    </row>
    <row r="35" spans="1:8" ht="31.5" x14ac:dyDescent="0.25">
      <c r="A35" s="29" t="s">
        <v>8</v>
      </c>
      <c r="B35" s="15">
        <f>B36+B41+B46+B51+B56+B58+B60+B62</f>
        <v>57480.649449380689</v>
      </c>
      <c r="C35" s="15">
        <f t="shared" si="2"/>
        <v>172441.94834814206</v>
      </c>
      <c r="D35" s="15">
        <f t="shared" ref="D35" si="3">D36+D41+D46+D51+D56+D58+D60+D62</f>
        <v>0</v>
      </c>
      <c r="E35" s="15">
        <f t="shared" si="1"/>
        <v>172441.94834814206</v>
      </c>
      <c r="F35" s="23">
        <f>F36+F41+F46+F51+F56+F58+F60+F62</f>
        <v>57480.649449380689</v>
      </c>
      <c r="G35" s="103"/>
    </row>
    <row r="36" spans="1:8" ht="31.5" customHeight="1" x14ac:dyDescent="0.25">
      <c r="A36" s="31" t="s">
        <v>9</v>
      </c>
      <c r="B36" s="35">
        <f>F36</f>
        <v>8636.5663175999998</v>
      </c>
      <c r="C36" s="35">
        <f t="shared" si="2"/>
        <v>25909.698952799998</v>
      </c>
      <c r="D36" s="35">
        <f>SUM(D37:D40)</f>
        <v>0</v>
      </c>
      <c r="E36" s="15">
        <f t="shared" si="1"/>
        <v>25909.698952799998</v>
      </c>
      <c r="F36" s="22">
        <f>'тариф с 01.01.2021'!C10</f>
        <v>8636.5663175999998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>
        <f t="shared" si="2"/>
        <v>0</v>
      </c>
      <c r="D37" s="35">
        <v>0</v>
      </c>
      <c r="E37" s="15"/>
      <c r="F37" s="22">
        <f>G40+H40</f>
        <v>2519.8665799449814</v>
      </c>
      <c r="G37" s="1">
        <v>23336</v>
      </c>
      <c r="H37" s="1">
        <v>23336</v>
      </c>
    </row>
    <row r="38" spans="1:8" ht="15.75" x14ac:dyDescent="0.25">
      <c r="A38" s="37" t="s">
        <v>37</v>
      </c>
      <c r="B38" s="35"/>
      <c r="C38" s="35">
        <f t="shared" si="2"/>
        <v>0</v>
      </c>
      <c r="D38" s="35">
        <v>0</v>
      </c>
      <c r="E38" s="15"/>
      <c r="F38" s="22">
        <f>F37*0.302</f>
        <v>760.9997071433844</v>
      </c>
      <c r="G38" s="84">
        <f>'ТХ МКД'!B14/325</f>
        <v>0.29230769230769232</v>
      </c>
      <c r="H38" s="84">
        <f>('ТХ МКД'!B7+'ТХ МКД'!B28*0.5)*0.01631/1000</f>
        <v>9.106036100000002E-2</v>
      </c>
    </row>
    <row r="39" spans="1:8" ht="15.75" x14ac:dyDescent="0.25">
      <c r="A39" s="37" t="s">
        <v>38</v>
      </c>
      <c r="B39" s="35"/>
      <c r="C39" s="35">
        <f t="shared" si="2"/>
        <v>0</v>
      </c>
      <c r="D39" s="35">
        <v>0</v>
      </c>
      <c r="E39" s="15"/>
      <c r="F39" s="22">
        <f>F36-F37-F38</f>
        <v>5355.7000305116344</v>
      </c>
      <c r="G39" s="84">
        <f>G38*0.312746</f>
        <v>9.1418061538461548E-2</v>
      </c>
      <c r="H39" s="19">
        <f>H38*0.1819</f>
        <v>1.6563879665900005E-2</v>
      </c>
    </row>
    <row r="40" spans="1:8" ht="15.75" x14ac:dyDescent="0.25">
      <c r="A40" s="37" t="s">
        <v>0</v>
      </c>
      <c r="B40" s="35"/>
      <c r="C40" s="35">
        <f t="shared" si="2"/>
        <v>0</v>
      </c>
      <c r="D40" s="35">
        <v>0</v>
      </c>
      <c r="E40" s="15"/>
      <c r="F40" s="22"/>
      <c r="G40" s="101">
        <f>G37*G39</f>
        <v>2133.3318840615389</v>
      </c>
      <c r="H40" s="101">
        <f>H37*H39</f>
        <v>386.53469588344251</v>
      </c>
    </row>
    <row r="41" spans="1:8" ht="15.75" x14ac:dyDescent="0.25">
      <c r="A41" s="31" t="s">
        <v>10</v>
      </c>
      <c r="B41" s="35">
        <f>F41</f>
        <v>4725.7808292</v>
      </c>
      <c r="C41" s="35">
        <f t="shared" si="2"/>
        <v>14177.342487599999</v>
      </c>
      <c r="D41" s="35">
        <f>SUM(D42:D45)</f>
        <v>0</v>
      </c>
      <c r="E41" s="15">
        <f t="shared" si="1"/>
        <v>14177.342487599999</v>
      </c>
      <c r="F41" s="22">
        <f>'тариф с 01.01.2021'!C11</f>
        <v>4725.7808292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>
        <f t="shared" si="2"/>
        <v>0</v>
      </c>
      <c r="D42" s="35">
        <v>0</v>
      </c>
      <c r="E42" s="15"/>
      <c r="F42" s="130">
        <f>G45</f>
        <v>1044.6362613928204</v>
      </c>
      <c r="G42" s="1">
        <v>23336</v>
      </c>
    </row>
    <row r="43" spans="1:8" ht="15.75" x14ac:dyDescent="0.25">
      <c r="A43" s="37" t="s">
        <v>37</v>
      </c>
      <c r="B43" s="35"/>
      <c r="C43" s="35">
        <f t="shared" si="2"/>
        <v>0</v>
      </c>
      <c r="D43" s="35">
        <v>0</v>
      </c>
      <c r="E43" s="15"/>
      <c r="F43" s="130">
        <f>F42*0.302</f>
        <v>315.48015094063175</v>
      </c>
      <c r="G43" s="84">
        <f>('ТХ МКД'!B7+'ТХ МКД'!B28*0.5)/39000</f>
        <v>0.14315641025641027</v>
      </c>
    </row>
    <row r="44" spans="1:8" ht="15.75" x14ac:dyDescent="0.25">
      <c r="A44" s="37" t="s">
        <v>38</v>
      </c>
      <c r="B44" s="35"/>
      <c r="C44" s="35">
        <f t="shared" si="2"/>
        <v>0</v>
      </c>
      <c r="D44" s="35">
        <v>0</v>
      </c>
      <c r="E44" s="15"/>
      <c r="F44" s="130">
        <f>F41-F42-F43</f>
        <v>3365.664416866548</v>
      </c>
      <c r="G44" s="84">
        <f>G43*0.3127</f>
        <v>4.4765009487179486E-2</v>
      </c>
    </row>
    <row r="45" spans="1:8" ht="15.75" x14ac:dyDescent="0.25">
      <c r="A45" s="37" t="s">
        <v>0</v>
      </c>
      <c r="B45" s="35"/>
      <c r="C45" s="35">
        <f t="shared" si="2"/>
        <v>0</v>
      </c>
      <c r="D45" s="35">
        <v>0</v>
      </c>
      <c r="E45" s="15"/>
      <c r="F45" s="22"/>
      <c r="G45" s="101">
        <f>G42*G44</f>
        <v>1044.6362613928204</v>
      </c>
    </row>
    <row r="46" spans="1:8" ht="15.75" x14ac:dyDescent="0.25">
      <c r="A46" s="31" t="s">
        <v>11</v>
      </c>
      <c r="B46" s="35">
        <f>F46</f>
        <v>1512.3703521806883</v>
      </c>
      <c r="C46" s="35">
        <f t="shared" si="2"/>
        <v>4537.1110565420649</v>
      </c>
      <c r="D46" s="35">
        <f>SUM(D47:D50)</f>
        <v>0</v>
      </c>
      <c r="E46" s="15">
        <f t="shared" si="1"/>
        <v>4537.1110565420649</v>
      </c>
      <c r="F46" s="22">
        <f>'тариф с 01.01.2021'!C12</f>
        <v>1512.3703521806883</v>
      </c>
      <c r="G46" s="107" t="s">
        <v>143</v>
      </c>
    </row>
    <row r="47" spans="1:8" ht="15.75" x14ac:dyDescent="0.25">
      <c r="A47" s="37" t="s">
        <v>36</v>
      </c>
      <c r="B47" s="35"/>
      <c r="C47" s="35">
        <f t="shared" si="2"/>
        <v>0</v>
      </c>
      <c r="D47" s="35">
        <v>0</v>
      </c>
      <c r="E47" s="15"/>
      <c r="F47" s="22">
        <f>G49</f>
        <v>936.57333333333338</v>
      </c>
      <c r="G47" s="1">
        <v>22182</v>
      </c>
    </row>
    <row r="48" spans="1:8" ht="15.75" x14ac:dyDescent="0.25">
      <c r="A48" s="37" t="s">
        <v>37</v>
      </c>
      <c r="B48" s="35"/>
      <c r="C48" s="35">
        <f t="shared" si="2"/>
        <v>0</v>
      </c>
      <c r="D48" s="35">
        <v>0</v>
      </c>
      <c r="E48" s="15"/>
      <c r="F48" s="22">
        <f>F47*0.302</f>
        <v>282.84514666666666</v>
      </c>
      <c r="G48" s="84">
        <f>'ТХ МКД'!B16/2250</f>
        <v>4.2222222222222223E-2</v>
      </c>
    </row>
    <row r="49" spans="1:7" ht="15.75" x14ac:dyDescent="0.25">
      <c r="A49" s="37" t="s">
        <v>38</v>
      </c>
      <c r="B49" s="35"/>
      <c r="C49" s="35">
        <f t="shared" si="2"/>
        <v>0</v>
      </c>
      <c r="D49" s="35">
        <v>0</v>
      </c>
      <c r="E49" s="15"/>
      <c r="F49" s="22">
        <f>F46-F47-F48</f>
        <v>292.95187218068827</v>
      </c>
      <c r="G49" s="101">
        <f>G47*G48</f>
        <v>936.57333333333338</v>
      </c>
    </row>
    <row r="50" spans="1:7" ht="15.75" x14ac:dyDescent="0.25">
      <c r="A50" s="37" t="s">
        <v>0</v>
      </c>
      <c r="B50" s="35"/>
      <c r="C50" s="35">
        <f t="shared" si="2"/>
        <v>0</v>
      </c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1301.6082503999999</v>
      </c>
      <c r="C51" s="35">
        <f t="shared" si="2"/>
        <v>3904.8247511999998</v>
      </c>
      <c r="D51" s="35">
        <f>SUM(D52:D55)</f>
        <v>0</v>
      </c>
      <c r="E51" s="15">
        <f t="shared" si="1"/>
        <v>3904.8247511999998</v>
      </c>
      <c r="F51" s="22">
        <f>'тариф с 01.01.2021'!C13</f>
        <v>1301.6082503999999</v>
      </c>
      <c r="G51" s="107" t="s">
        <v>144</v>
      </c>
    </row>
    <row r="52" spans="1:7" ht="15.75" x14ac:dyDescent="0.25">
      <c r="A52" s="37" t="s">
        <v>74</v>
      </c>
      <c r="B52" s="35"/>
      <c r="C52" s="35">
        <f t="shared" si="2"/>
        <v>0</v>
      </c>
      <c r="D52" s="35"/>
      <c r="E52" s="15"/>
      <c r="F52" s="130">
        <f>G55</f>
        <v>518.39333999999997</v>
      </c>
      <c r="G52" s="1">
        <v>22182</v>
      </c>
    </row>
    <row r="53" spans="1:7" ht="15.75" x14ac:dyDescent="0.25">
      <c r="A53" s="37" t="s">
        <v>37</v>
      </c>
      <c r="B53" s="35"/>
      <c r="C53" s="35">
        <f t="shared" si="2"/>
        <v>0</v>
      </c>
      <c r="D53" s="35"/>
      <c r="E53" s="15"/>
      <c r="F53" s="130">
        <f>F52*0.302</f>
        <v>156.55478867999997</v>
      </c>
      <c r="G53" s="1">
        <f>'ТХ МКД'!B12/1250</f>
        <v>7.5999999999999998E-2</v>
      </c>
    </row>
    <row r="54" spans="1:7" ht="15.75" x14ac:dyDescent="0.25">
      <c r="A54" s="37" t="s">
        <v>38</v>
      </c>
      <c r="B54" s="35"/>
      <c r="C54" s="35">
        <f t="shared" si="2"/>
        <v>0</v>
      </c>
      <c r="D54" s="35"/>
      <c r="E54" s="15"/>
      <c r="F54" s="22">
        <f>F51-F52-F53</f>
        <v>626.66012171999989</v>
      </c>
      <c r="G54" s="84">
        <f>G53*0.3075</f>
        <v>2.3369999999999998E-2</v>
      </c>
    </row>
    <row r="55" spans="1:7" ht="15.75" x14ac:dyDescent="0.25">
      <c r="A55" s="37" t="s">
        <v>0</v>
      </c>
      <c r="B55" s="35"/>
      <c r="C55" s="35">
        <f t="shared" si="2"/>
        <v>0</v>
      </c>
      <c r="D55" s="35"/>
      <c r="E55" s="15"/>
      <c r="F55" s="22"/>
      <c r="G55" s="101">
        <f>G52*G54</f>
        <v>518.39333999999997</v>
      </c>
    </row>
    <row r="56" spans="1:7" ht="31.5" x14ac:dyDescent="0.25">
      <c r="A56" s="31" t="s">
        <v>13</v>
      </c>
      <c r="B56" s="35">
        <f>B57</f>
        <v>32075.792099999999</v>
      </c>
      <c r="C56" s="35">
        <f t="shared" si="2"/>
        <v>96227.376300000004</v>
      </c>
      <c r="D56" s="35">
        <f>D57</f>
        <v>0</v>
      </c>
      <c r="E56" s="15">
        <f>C56-D56</f>
        <v>96227.376300000004</v>
      </c>
      <c r="F56" s="22">
        <f>'тариф с 01.01.2021'!C14</f>
        <v>32075.792099999999</v>
      </c>
    </row>
    <row r="57" spans="1:7" ht="15.75" x14ac:dyDescent="0.25">
      <c r="A57" s="38" t="s">
        <v>84</v>
      </c>
      <c r="B57" s="35">
        <f>F56</f>
        <v>32075.792099999999</v>
      </c>
      <c r="C57" s="35">
        <f t="shared" si="2"/>
        <v>96227.376300000004</v>
      </c>
      <c r="D57" s="35"/>
      <c r="E57" s="15"/>
      <c r="F57" s="22"/>
    </row>
    <row r="58" spans="1:7" ht="33.75" customHeight="1" x14ac:dyDescent="0.25">
      <c r="A58" s="31" t="s">
        <v>167</v>
      </c>
      <c r="B58" s="35">
        <f>B59</f>
        <v>5736.6686999999993</v>
      </c>
      <c r="C58" s="35">
        <f t="shared" si="2"/>
        <v>17210.006099999999</v>
      </c>
      <c r="D58" s="35">
        <f>D59</f>
        <v>0</v>
      </c>
      <c r="E58" s="15">
        <f t="shared" si="1"/>
        <v>17210.006099999999</v>
      </c>
      <c r="F58" s="22">
        <f>'тариф с 01.01.2021'!C15</f>
        <v>5736.6686999999993</v>
      </c>
    </row>
    <row r="59" spans="1:7" ht="18.75" customHeight="1" x14ac:dyDescent="0.25">
      <c r="A59" s="38" t="s">
        <v>189</v>
      </c>
      <c r="B59" s="35">
        <f>F58</f>
        <v>5736.6686999999993</v>
      </c>
      <c r="C59" s="35">
        <f t="shared" si="2"/>
        <v>17210.006099999999</v>
      </c>
      <c r="D59" s="35"/>
      <c r="E59" s="15"/>
      <c r="F59" s="22"/>
    </row>
    <row r="60" spans="1:7" ht="31.5" customHeight="1" x14ac:dyDescent="0.25">
      <c r="A60" s="31" t="s">
        <v>168</v>
      </c>
      <c r="B60" s="35">
        <f>B61</f>
        <v>0</v>
      </c>
      <c r="C60" s="35">
        <f t="shared" si="2"/>
        <v>0</v>
      </c>
      <c r="D60" s="35"/>
      <c r="E60" s="15">
        <f t="shared" si="1"/>
        <v>0</v>
      </c>
      <c r="F60" s="22"/>
    </row>
    <row r="61" spans="1:7" ht="32.25" hidden="1" customHeight="1" x14ac:dyDescent="0.25">
      <c r="A61" s="38" t="s">
        <v>40</v>
      </c>
      <c r="B61" s="35"/>
      <c r="C61" s="35">
        <f t="shared" si="2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</v>
      </c>
      <c r="B62" s="35">
        <f>B63</f>
        <v>3491.8628999999996</v>
      </c>
      <c r="C62" s="35">
        <f t="shared" si="2"/>
        <v>10475.588699999998</v>
      </c>
      <c r="D62" s="35">
        <f>D63</f>
        <v>0</v>
      </c>
      <c r="E62" s="15">
        <f t="shared" si="1"/>
        <v>10475.588699999998</v>
      </c>
      <c r="F62" s="22">
        <f>'тариф с 01.01.2021'!C17</f>
        <v>3491.8628999999996</v>
      </c>
    </row>
    <row r="63" spans="1:7" ht="33" customHeight="1" x14ac:dyDescent="0.25">
      <c r="A63" s="39" t="s">
        <v>40</v>
      </c>
      <c r="B63" s="35">
        <f>F62</f>
        <v>3491.8628999999996</v>
      </c>
      <c r="C63" s="35">
        <f t="shared" si="2"/>
        <v>10475.588699999998</v>
      </c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23386.517977311829</v>
      </c>
      <c r="C64" s="15">
        <f t="shared" si="2"/>
        <v>70159.553931935487</v>
      </c>
      <c r="D64" s="16">
        <f t="shared" ref="D64" si="4">D65+D66+D71+D72+D77+D79</f>
        <v>0</v>
      </c>
      <c r="E64" s="15">
        <f t="shared" si="1"/>
        <v>70159.553931935487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si="1"/>
        <v>0</v>
      </c>
      <c r="F65" s="22"/>
    </row>
    <row r="66" spans="1:7" ht="31.5" customHeight="1" x14ac:dyDescent="0.25">
      <c r="A66" s="31" t="s">
        <v>19</v>
      </c>
      <c r="B66" s="35">
        <f>SUM(B67:B70)</f>
        <v>7688.8766684634429</v>
      </c>
      <c r="C66" s="35">
        <f t="shared" si="2"/>
        <v>23066.630005390329</v>
      </c>
      <c r="D66" s="35">
        <f>SUM(D67:D70)</f>
        <v>0</v>
      </c>
      <c r="E66" s="15">
        <f t="shared" si="1"/>
        <v>23066.630005390329</v>
      </c>
      <c r="F66" s="22">
        <f>'тариф с 01.01.2021'!C22</f>
        <v>7688.8766684634429</v>
      </c>
      <c r="G66" s="107" t="s">
        <v>145</v>
      </c>
    </row>
    <row r="67" spans="1:7" ht="15.75" x14ac:dyDescent="0.25">
      <c r="A67" s="37" t="s">
        <v>147</v>
      </c>
      <c r="B67" s="35">
        <f>F67</f>
        <v>4961.9918857142857</v>
      </c>
      <c r="C67" s="35">
        <f t="shared" si="2"/>
        <v>14885.975657142857</v>
      </c>
      <c r="D67" s="35"/>
      <c r="E67" s="15"/>
      <c r="F67" s="22">
        <f>G69</f>
        <v>4961.9918857142857</v>
      </c>
      <c r="G67" s="1">
        <v>12822</v>
      </c>
    </row>
    <row r="68" spans="1:7" ht="15.75" x14ac:dyDescent="0.25">
      <c r="A68" s="37" t="s">
        <v>37</v>
      </c>
      <c r="B68" s="35">
        <f t="shared" ref="B68:B69" si="5">F68</f>
        <v>1498.5215494857143</v>
      </c>
      <c r="C68" s="35">
        <f t="shared" si="2"/>
        <v>4495.5646484571425</v>
      </c>
      <c r="D68" s="35"/>
      <c r="E68" s="15"/>
      <c r="F68" s="22">
        <f>F67*0.302</f>
        <v>1498.5215494857143</v>
      </c>
      <c r="G68" s="105">
        <f>'ТХ МКД'!B30/5250</f>
        <v>0.38699047619047622</v>
      </c>
    </row>
    <row r="69" spans="1:7" ht="15.75" x14ac:dyDescent="0.25">
      <c r="A69" s="37" t="s">
        <v>38</v>
      </c>
      <c r="B69" s="35">
        <f t="shared" si="5"/>
        <v>1228.3632332634429</v>
      </c>
      <c r="C69" s="35">
        <f t="shared" si="2"/>
        <v>3685.0896997903287</v>
      </c>
      <c r="D69" s="35"/>
      <c r="E69" s="15"/>
      <c r="F69" s="22">
        <f>F66-F67-F68</f>
        <v>1228.3632332634429</v>
      </c>
      <c r="G69" s="101">
        <f>G67*G68</f>
        <v>4961.9918857142857</v>
      </c>
    </row>
    <row r="70" spans="1:7" ht="15.75" x14ac:dyDescent="0.25">
      <c r="A70" s="37" t="s">
        <v>0</v>
      </c>
      <c r="B70" s="35"/>
      <c r="C70" s="35">
        <f t="shared" si="2"/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7604.0892904483853</v>
      </c>
      <c r="C72" s="35">
        <f t="shared" si="2"/>
        <v>22812.267871345157</v>
      </c>
      <c r="D72" s="35">
        <f>SUM(D73:D76)</f>
        <v>0</v>
      </c>
      <c r="E72" s="15">
        <f t="shared" si="1"/>
        <v>22812.267871345157</v>
      </c>
      <c r="F72" s="22">
        <f>'тариф с 01.01.2021'!C24</f>
        <v>7604.0892904483853</v>
      </c>
      <c r="G72" s="1" t="s">
        <v>146</v>
      </c>
    </row>
    <row r="73" spans="1:7" ht="31.5" x14ac:dyDescent="0.25">
      <c r="A73" s="37" t="s">
        <v>148</v>
      </c>
      <c r="B73" s="35">
        <f>F73</f>
        <v>5176.2888888888892</v>
      </c>
      <c r="C73" s="35">
        <f t="shared" si="2"/>
        <v>15528.866666666669</v>
      </c>
      <c r="D73" s="35"/>
      <c r="E73" s="15"/>
      <c r="F73" s="22">
        <f>G75</f>
        <v>5176.2888888888892</v>
      </c>
      <c r="G73" s="1">
        <v>12822</v>
      </c>
    </row>
    <row r="74" spans="1:7" ht="15.75" x14ac:dyDescent="0.25">
      <c r="A74" s="37" t="s">
        <v>37</v>
      </c>
      <c r="B74" s="35">
        <f>B73*0.302</f>
        <v>1563.2392444444445</v>
      </c>
      <c r="C74" s="35">
        <f t="shared" si="2"/>
        <v>4689.7177333333329</v>
      </c>
      <c r="D74" s="35"/>
      <c r="E74" s="15"/>
      <c r="F74" s="22">
        <f>F73*0.302</f>
        <v>1563.2392444444445</v>
      </c>
      <c r="G74" s="84">
        <f>'ТХ МКД'!B18/540</f>
        <v>0.40370370370370373</v>
      </c>
    </row>
    <row r="75" spans="1:7" ht="15.75" x14ac:dyDescent="0.25">
      <c r="A75" s="37" t="s">
        <v>38</v>
      </c>
      <c r="B75" s="35">
        <f>F72-B74-B73</f>
        <v>864.56115711505208</v>
      </c>
      <c r="C75" s="35">
        <f t="shared" ref="C75:C85" si="6">B75*3</f>
        <v>2593.6834713451562</v>
      </c>
      <c r="D75" s="35"/>
      <c r="E75" s="15"/>
      <c r="F75" s="22">
        <f>F72-F73-F74</f>
        <v>864.56115711505163</v>
      </c>
      <c r="G75" s="101">
        <f>G73*G74</f>
        <v>5176.2888888888892</v>
      </c>
    </row>
    <row r="76" spans="1:7" ht="15.75" x14ac:dyDescent="0.25">
      <c r="A76" s="37" t="s">
        <v>0</v>
      </c>
      <c r="B76" s="35"/>
      <c r="C76" s="35">
        <f t="shared" si="6"/>
        <v>0</v>
      </c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2001.6786</v>
      </c>
      <c r="C77" s="35">
        <f t="shared" si="6"/>
        <v>6005.0357999999997</v>
      </c>
      <c r="D77" s="35">
        <f>D78</f>
        <v>0</v>
      </c>
      <c r="E77" s="15">
        <f t="shared" ref="E77:E117" si="7">C77-D77</f>
        <v>6005.0357999999997</v>
      </c>
      <c r="F77" s="22">
        <f>'тариф с 01.01.2021'!C25</f>
        <v>2001.6786</v>
      </c>
    </row>
    <row r="78" spans="1:7" ht="33" customHeight="1" x14ac:dyDescent="0.25">
      <c r="A78" s="38" t="s">
        <v>40</v>
      </c>
      <c r="B78" s="35">
        <f>F77</f>
        <v>2001.6786</v>
      </c>
      <c r="C78" s="35">
        <f t="shared" si="6"/>
        <v>6005.0357999999997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6091.8734184000014</v>
      </c>
      <c r="C79" s="35">
        <f t="shared" si="6"/>
        <v>18275.620255200003</v>
      </c>
      <c r="D79" s="35">
        <f>SUM(D80:D83)</f>
        <v>0</v>
      </c>
      <c r="E79" s="15">
        <f t="shared" si="7"/>
        <v>18275.620255200003</v>
      </c>
      <c r="F79" s="22">
        <f>'тариф с 01.01.2021'!C26</f>
        <v>6091.8734184000014</v>
      </c>
    </row>
    <row r="80" spans="1:7" ht="15.75" x14ac:dyDescent="0.25">
      <c r="A80" s="37" t="s">
        <v>36</v>
      </c>
      <c r="B80" s="35"/>
      <c r="C80" s="35">
        <f t="shared" si="6"/>
        <v>0</v>
      </c>
      <c r="D80" s="35"/>
      <c r="E80" s="15"/>
      <c r="F80" s="22"/>
    </row>
    <row r="81" spans="1:6" ht="15.75" x14ac:dyDescent="0.25">
      <c r="A81" s="37" t="s">
        <v>37</v>
      </c>
      <c r="B81" s="35"/>
      <c r="C81" s="35">
        <f t="shared" si="6"/>
        <v>0</v>
      </c>
      <c r="D81" s="35"/>
      <c r="E81" s="15"/>
      <c r="F81" s="22"/>
    </row>
    <row r="82" spans="1:6" ht="15.75" x14ac:dyDescent="0.25">
      <c r="A82" s="37" t="s">
        <v>38</v>
      </c>
      <c r="B82" s="35"/>
      <c r="C82" s="35">
        <f t="shared" si="6"/>
        <v>0</v>
      </c>
      <c r="D82" s="35"/>
      <c r="E82" s="15"/>
      <c r="F82" s="22"/>
    </row>
    <row r="83" spans="1:6" ht="15.75" x14ac:dyDescent="0.25">
      <c r="A83" s="37" t="s">
        <v>0</v>
      </c>
      <c r="B83" s="35"/>
      <c r="C83" s="35">
        <f t="shared" si="6"/>
        <v>0</v>
      </c>
      <c r="D83" s="35"/>
      <c r="E83" s="15"/>
      <c r="F83" s="22"/>
    </row>
    <row r="84" spans="1:6" ht="15.75" x14ac:dyDescent="0.25">
      <c r="A84" s="29" t="s">
        <v>24</v>
      </c>
      <c r="B84" s="15">
        <f>F84</f>
        <v>6191.5802952000013</v>
      </c>
      <c r="C84" s="15">
        <f t="shared" si="6"/>
        <v>18574.740885600004</v>
      </c>
      <c r="D84" s="15"/>
      <c r="E84" s="15">
        <f t="shared" si="7"/>
        <v>18574.740885600004</v>
      </c>
      <c r="F84" s="22">
        <f>'тариф с 01.01.2021'!C27</f>
        <v>6191.5802952000013</v>
      </c>
    </row>
    <row r="85" spans="1:6" ht="15.75" x14ac:dyDescent="0.25">
      <c r="A85" s="29" t="s">
        <v>25</v>
      </c>
      <c r="B85" s="15">
        <f>F85</f>
        <v>17600.973181199999</v>
      </c>
      <c r="C85" s="15">
        <f t="shared" si="6"/>
        <v>52802.919543600001</v>
      </c>
      <c r="D85" s="15">
        <f>D86+D97</f>
        <v>0</v>
      </c>
      <c r="E85" s="15">
        <f t="shared" si="7"/>
        <v>52802.919543600001</v>
      </c>
      <c r="F85" s="22">
        <f>'тариф с 01.01.2021'!C28</f>
        <v>17600.973181199999</v>
      </c>
    </row>
    <row r="86" spans="1:6" ht="17.25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x14ac:dyDescent="0.25">
      <c r="A87" s="70" t="s">
        <v>85</v>
      </c>
      <c r="B87" s="15"/>
      <c r="C87" s="35"/>
      <c r="D87" s="35">
        <f>F87*$D$118*6</f>
        <v>0</v>
      </c>
      <c r="E87" s="15"/>
      <c r="F87" s="50"/>
    </row>
    <row r="88" spans="1:6" ht="15.75" x14ac:dyDescent="0.25">
      <c r="A88" s="70" t="s">
        <v>37</v>
      </c>
      <c r="B88" s="15"/>
      <c r="C88" s="35"/>
      <c r="D88" s="35">
        <f>F88*$D$118*6</f>
        <v>0</v>
      </c>
      <c r="E88" s="15"/>
      <c r="F88" s="50"/>
    </row>
    <row r="89" spans="1:6" ht="15.75" x14ac:dyDescent="0.25">
      <c r="A89" s="70" t="s">
        <v>50</v>
      </c>
      <c r="B89" s="15"/>
      <c r="C89" s="35"/>
      <c r="D89" s="35">
        <f t="shared" ref="D89:D96" si="8">F89*$D$118*6</f>
        <v>0</v>
      </c>
      <c r="E89" s="15"/>
      <c r="F89" s="50"/>
    </row>
    <row r="90" spans="1:6" ht="15.75" x14ac:dyDescent="0.25">
      <c r="A90" s="70" t="s">
        <v>51</v>
      </c>
      <c r="B90" s="15"/>
      <c r="C90" s="35"/>
      <c r="D90" s="35">
        <f t="shared" si="8"/>
        <v>0</v>
      </c>
      <c r="E90" s="15"/>
      <c r="F90" s="50"/>
    </row>
    <row r="91" spans="1:6" ht="15.75" x14ac:dyDescent="0.25">
      <c r="A91" s="70" t="s">
        <v>76</v>
      </c>
      <c r="B91" s="15"/>
      <c r="C91" s="35"/>
      <c r="D91" s="35">
        <f t="shared" si="8"/>
        <v>0</v>
      </c>
      <c r="E91" s="15"/>
      <c r="F91" s="50"/>
    </row>
    <row r="92" spans="1:6" ht="15.75" x14ac:dyDescent="0.25">
      <c r="A92" s="70" t="s">
        <v>52</v>
      </c>
      <c r="B92" s="15"/>
      <c r="C92" s="35"/>
      <c r="D92" s="35">
        <f t="shared" si="8"/>
        <v>0</v>
      </c>
      <c r="E92" s="15"/>
      <c r="F92" s="50"/>
    </row>
    <row r="93" spans="1:6" ht="15.75" x14ac:dyDescent="0.25">
      <c r="A93" s="70" t="s">
        <v>77</v>
      </c>
      <c r="B93" s="15"/>
      <c r="C93" s="35"/>
      <c r="D93" s="35">
        <f t="shared" si="8"/>
        <v>0</v>
      </c>
      <c r="E93" s="15"/>
      <c r="F93" s="50"/>
    </row>
    <row r="94" spans="1:6" ht="15.75" x14ac:dyDescent="0.25">
      <c r="A94" s="70" t="s">
        <v>53</v>
      </c>
      <c r="B94" s="15"/>
      <c r="C94" s="35"/>
      <c r="D94" s="35">
        <f t="shared" si="8"/>
        <v>0</v>
      </c>
      <c r="E94" s="15"/>
      <c r="F94" s="50"/>
    </row>
    <row r="95" spans="1:6" ht="15.75" x14ac:dyDescent="0.25">
      <c r="A95" s="70" t="s">
        <v>54</v>
      </c>
      <c r="B95" s="15"/>
      <c r="C95" s="35"/>
      <c r="D95" s="35">
        <f t="shared" si="8"/>
        <v>0</v>
      </c>
      <c r="E95" s="15"/>
      <c r="F95" s="50"/>
    </row>
    <row r="96" spans="1:6" ht="15.75" x14ac:dyDescent="0.25">
      <c r="A96" s="70" t="s">
        <v>0</v>
      </c>
      <c r="B96" s="15"/>
      <c r="C96" s="35"/>
      <c r="D96" s="35">
        <f t="shared" si="8"/>
        <v>0</v>
      </c>
      <c r="E96" s="15"/>
      <c r="F96" s="50"/>
    </row>
    <row r="97" spans="1:6" ht="17.25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x14ac:dyDescent="0.25">
      <c r="A98" s="71" t="s">
        <v>86</v>
      </c>
      <c r="B98" s="15"/>
      <c r="C98" s="35"/>
      <c r="D98" s="35">
        <f>F98*$D$118*6</f>
        <v>0</v>
      </c>
      <c r="E98" s="15"/>
      <c r="F98" s="50"/>
    </row>
    <row r="99" spans="1:6" ht="15.75" x14ac:dyDescent="0.25">
      <c r="A99" s="71" t="s">
        <v>37</v>
      </c>
      <c r="B99" s="15"/>
      <c r="C99" s="35"/>
      <c r="D99" s="35">
        <f>F99*$D$118*6</f>
        <v>0</v>
      </c>
      <c r="E99" s="15"/>
      <c r="F99" s="50"/>
    </row>
    <row r="100" spans="1:6" ht="30" x14ac:dyDescent="0.25">
      <c r="A100" s="71" t="s">
        <v>55</v>
      </c>
      <c r="B100" s="15"/>
      <c r="C100" s="35"/>
      <c r="D100" s="35">
        <f t="shared" ref="D100:D116" si="9">F100*$D$118*6</f>
        <v>0</v>
      </c>
      <c r="E100" s="15"/>
      <c r="F100" s="50"/>
    </row>
    <row r="101" spans="1:6" ht="15.75" x14ac:dyDescent="0.25">
      <c r="A101" s="72" t="s">
        <v>56</v>
      </c>
      <c r="B101" s="15"/>
      <c r="C101" s="35"/>
      <c r="D101" s="35">
        <f t="shared" si="9"/>
        <v>0</v>
      </c>
      <c r="E101" s="15"/>
      <c r="F101" s="50"/>
    </row>
    <row r="102" spans="1:6" ht="15.75" x14ac:dyDescent="0.25">
      <c r="A102" s="72" t="s">
        <v>57</v>
      </c>
      <c r="B102" s="15"/>
      <c r="C102" s="35"/>
      <c r="D102" s="35">
        <f t="shared" si="9"/>
        <v>0</v>
      </c>
      <c r="E102" s="15"/>
      <c r="F102" s="50"/>
    </row>
    <row r="103" spans="1:6" ht="15.75" x14ac:dyDescent="0.25">
      <c r="A103" s="72" t="s">
        <v>58</v>
      </c>
      <c r="B103" s="15"/>
      <c r="C103" s="35"/>
      <c r="D103" s="35">
        <f t="shared" si="9"/>
        <v>0</v>
      </c>
      <c r="E103" s="15"/>
      <c r="F103" s="50"/>
    </row>
    <row r="104" spans="1:6" ht="15.75" x14ac:dyDescent="0.25">
      <c r="A104" s="72" t="s">
        <v>59</v>
      </c>
      <c r="B104" s="15"/>
      <c r="C104" s="35"/>
      <c r="D104" s="35">
        <f t="shared" si="9"/>
        <v>0</v>
      </c>
      <c r="E104" s="15"/>
      <c r="F104" s="50"/>
    </row>
    <row r="105" spans="1:6" ht="15.75" x14ac:dyDescent="0.25">
      <c r="A105" s="72" t="s">
        <v>60</v>
      </c>
      <c r="B105" s="15"/>
      <c r="C105" s="35"/>
      <c r="D105" s="35">
        <f t="shared" si="9"/>
        <v>0</v>
      </c>
      <c r="E105" s="15"/>
      <c r="F105" s="50"/>
    </row>
    <row r="106" spans="1:6" ht="15.75" x14ac:dyDescent="0.25">
      <c r="A106" s="72" t="s">
        <v>61</v>
      </c>
      <c r="B106" s="15"/>
      <c r="C106" s="35"/>
      <c r="D106" s="35">
        <f t="shared" si="9"/>
        <v>0</v>
      </c>
      <c r="E106" s="15"/>
      <c r="F106" s="50"/>
    </row>
    <row r="107" spans="1:6" ht="15.75" x14ac:dyDescent="0.25">
      <c r="A107" s="72" t="s">
        <v>62</v>
      </c>
      <c r="B107" s="15"/>
      <c r="C107" s="35"/>
      <c r="D107" s="35">
        <f t="shared" si="9"/>
        <v>0</v>
      </c>
      <c r="E107" s="15"/>
      <c r="F107" s="50"/>
    </row>
    <row r="108" spans="1:6" ht="15.75" x14ac:dyDescent="0.25">
      <c r="A108" s="73" t="s">
        <v>63</v>
      </c>
      <c r="B108" s="15"/>
      <c r="C108" s="35"/>
      <c r="D108" s="35">
        <f t="shared" si="9"/>
        <v>0</v>
      </c>
      <c r="E108" s="15"/>
      <c r="F108" s="50"/>
    </row>
    <row r="109" spans="1:6" ht="15.75" x14ac:dyDescent="0.25">
      <c r="A109" s="72" t="s">
        <v>64</v>
      </c>
      <c r="B109" s="15"/>
      <c r="C109" s="35"/>
      <c r="D109" s="35">
        <f t="shared" si="9"/>
        <v>0</v>
      </c>
      <c r="E109" s="15"/>
      <c r="F109" s="50"/>
    </row>
    <row r="110" spans="1:6" ht="15.75" x14ac:dyDescent="0.25">
      <c r="A110" s="72" t="s">
        <v>65</v>
      </c>
      <c r="B110" s="15"/>
      <c r="C110" s="35"/>
      <c r="D110" s="35">
        <f t="shared" si="9"/>
        <v>0</v>
      </c>
      <c r="E110" s="15"/>
      <c r="F110" s="50"/>
    </row>
    <row r="111" spans="1:6" ht="15.75" x14ac:dyDescent="0.25">
      <c r="A111" s="72" t="s">
        <v>78</v>
      </c>
      <c r="B111" s="15"/>
      <c r="C111" s="35"/>
      <c r="D111" s="35">
        <f t="shared" si="9"/>
        <v>0</v>
      </c>
      <c r="E111" s="15"/>
      <c r="F111" s="50"/>
    </row>
    <row r="112" spans="1:6" ht="15.75" x14ac:dyDescent="0.25">
      <c r="A112" s="73" t="s">
        <v>66</v>
      </c>
      <c r="B112" s="15"/>
      <c r="C112" s="35"/>
      <c r="D112" s="35">
        <f t="shared" si="9"/>
        <v>0</v>
      </c>
      <c r="E112" s="15"/>
      <c r="F112" s="50"/>
    </row>
    <row r="113" spans="1:7" ht="15.75" x14ac:dyDescent="0.25">
      <c r="A113" s="72" t="s">
        <v>67</v>
      </c>
      <c r="B113" s="15"/>
      <c r="C113" s="35"/>
      <c r="D113" s="35">
        <f t="shared" si="9"/>
        <v>0</v>
      </c>
      <c r="E113" s="15"/>
      <c r="F113" s="50"/>
    </row>
    <row r="114" spans="1:7" ht="25.5" x14ac:dyDescent="0.25">
      <c r="A114" s="72" t="s">
        <v>79</v>
      </c>
      <c r="B114" s="15"/>
      <c r="C114" s="35"/>
      <c r="D114" s="35">
        <f t="shared" si="9"/>
        <v>0</v>
      </c>
      <c r="E114" s="15"/>
      <c r="F114" s="50"/>
    </row>
    <row r="115" spans="1:7" ht="15.75" x14ac:dyDescent="0.25">
      <c r="A115" s="73" t="s">
        <v>68</v>
      </c>
      <c r="B115" s="15"/>
      <c r="C115" s="35"/>
      <c r="D115" s="35">
        <f t="shared" si="9"/>
        <v>0</v>
      </c>
      <c r="E115" s="15"/>
      <c r="F115" s="50"/>
    </row>
    <row r="116" spans="1:7" ht="16.5" customHeight="1" x14ac:dyDescent="0.25">
      <c r="A116" s="73" t="s">
        <v>69</v>
      </c>
      <c r="B116" s="15"/>
      <c r="C116" s="35"/>
      <c r="D116" s="35">
        <f t="shared" si="9"/>
        <v>0</v>
      </c>
      <c r="E116" s="15"/>
      <c r="F116" s="50"/>
    </row>
    <row r="117" spans="1:7" ht="18" customHeight="1" x14ac:dyDescent="0.25">
      <c r="A117" s="33" t="s">
        <v>35</v>
      </c>
      <c r="B117" s="17">
        <f>B85+B84+B64+B35+B9</f>
        <v>111087.35693415244</v>
      </c>
      <c r="C117" s="17">
        <f>C85+C84+C64+C35+C9</f>
        <v>333262.07080245734</v>
      </c>
      <c r="D117" s="17">
        <f>D85+D84+D64+D35+D9</f>
        <v>0</v>
      </c>
      <c r="E117" s="15">
        <f t="shared" si="7"/>
        <v>333262.07080245734</v>
      </c>
      <c r="F117" s="52">
        <f>F73+F67+F52+F47+F42++F37+F31+F26+F21+F16+F11</f>
        <v>16972.773419446563</v>
      </c>
      <c r="G117" s="17"/>
    </row>
    <row r="118" spans="1:7" ht="16.5" customHeight="1" x14ac:dyDescent="0.25">
      <c r="A118" s="29" t="s">
        <v>27</v>
      </c>
      <c r="B118" s="28">
        <f>'ТХ МКД'!D8</f>
        <v>5151</v>
      </c>
      <c r="C118" s="28">
        <f>'ТХ МКД'!D8</f>
        <v>5151</v>
      </c>
      <c r="D118" s="28">
        <f>'ТХ МКД'!D8</f>
        <v>5151</v>
      </c>
      <c r="E118" s="54"/>
      <c r="F118" s="52">
        <f>F74+F68+F53+F48+F43++F38+F32+F27+F22+F17+F12</f>
        <v>5125.7775726728623</v>
      </c>
    </row>
    <row r="119" spans="1:7" ht="15.75" x14ac:dyDescent="0.25">
      <c r="A119" s="40" t="s">
        <v>39</v>
      </c>
      <c r="B119" s="41">
        <f>B117/B118</f>
        <v>21.566172963337689</v>
      </c>
      <c r="C119" s="41">
        <f>C117/C118/3</f>
        <v>21.566172963337692</v>
      </c>
      <c r="D119" s="41">
        <f>D117/D118/6</f>
        <v>0</v>
      </c>
      <c r="E119" s="43"/>
      <c r="F119" s="19"/>
    </row>
    <row r="120" spans="1:7" ht="15.75" x14ac:dyDescent="0.25">
      <c r="A120" s="42"/>
      <c r="B120" s="49"/>
      <c r="C120" s="49"/>
      <c r="D120" s="49"/>
      <c r="E120" s="49"/>
      <c r="F120" s="19"/>
    </row>
    <row r="121" spans="1:7" ht="15.75" hidden="1" x14ac:dyDescent="0.25">
      <c r="A121" s="42"/>
      <c r="B121" s="49"/>
      <c r="C121" s="49"/>
      <c r="D121" s="49"/>
      <c r="E121" s="49"/>
      <c r="F121" s="19"/>
    </row>
    <row r="122" spans="1:7" ht="18.75" hidden="1" x14ac:dyDescent="0.3">
      <c r="A122" s="45" t="s">
        <v>48</v>
      </c>
      <c r="B122" s="1" t="s">
        <v>32</v>
      </c>
      <c r="C122" s="46"/>
      <c r="D122" s="46"/>
      <c r="E122" s="46"/>
      <c r="F122" s="1"/>
    </row>
    <row r="123" spans="1:7" ht="15.75" x14ac:dyDescent="0.25">
      <c r="A123" s="30"/>
      <c r="B123" s="48"/>
      <c r="C123" s="48"/>
      <c r="D123" s="48"/>
      <c r="E123" s="48"/>
    </row>
    <row r="124" spans="1:7" ht="15.75" x14ac:dyDescent="0.25">
      <c r="A124" s="13" t="s">
        <v>31</v>
      </c>
      <c r="B124" s="44" t="s">
        <v>46</v>
      </c>
      <c r="D124" s="44" t="s">
        <v>33</v>
      </c>
      <c r="E124" s="44"/>
    </row>
    <row r="125" spans="1:7" ht="15.75" x14ac:dyDescent="0.25">
      <c r="A125" s="30"/>
      <c r="B125" s="48"/>
      <c r="C125" s="48"/>
      <c r="D125" s="48"/>
      <c r="E125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1" workbookViewId="0">
      <selection activeCell="A29" sqref="A29:A31"/>
    </sheetView>
  </sheetViews>
  <sheetFormatPr defaultRowHeight="15" x14ac:dyDescent="0.25"/>
  <cols>
    <col min="1" max="1" width="74.7109375" customWidth="1"/>
    <col min="2" max="2" width="28.42578125" customWidth="1"/>
    <col min="3" max="3" width="19.7109375" customWidth="1"/>
    <col min="4" max="4" width="18.7109375" style="2" customWidth="1"/>
  </cols>
  <sheetData>
    <row r="1" spans="1:4" x14ac:dyDescent="0.25">
      <c r="B1" t="s">
        <v>185</v>
      </c>
    </row>
    <row r="2" spans="1:4" ht="26.25" customHeight="1" x14ac:dyDescent="0.25">
      <c r="A2" s="117" t="s">
        <v>153</v>
      </c>
      <c r="B2" s="126" t="str">
        <f>'ТХ МКД'!D2</f>
        <v>Тимирязева, 27 /2/3/4/5/6</v>
      </c>
      <c r="C2" s="129" t="s">
        <v>183</v>
      </c>
      <c r="D2" s="129" t="s">
        <v>184</v>
      </c>
    </row>
    <row r="3" spans="1:4" ht="23.25" customHeight="1" x14ac:dyDescent="0.25">
      <c r="A3" s="118" t="s">
        <v>155</v>
      </c>
      <c r="B3" s="122">
        <f>SUM(B4:B8)</f>
        <v>1.247842366736539</v>
      </c>
      <c r="C3" s="128">
        <f>SUM(C4:C8)</f>
        <v>6427.6360310599121</v>
      </c>
      <c r="D3" s="128">
        <f>SUM(D4:D8)</f>
        <v>77131.632372718945</v>
      </c>
    </row>
    <row r="4" spans="1:4" ht="35.25" customHeight="1" x14ac:dyDescent="0.25">
      <c r="A4" s="119" t="s">
        <v>156</v>
      </c>
      <c r="B4" s="123">
        <v>0.18336360000000002</v>
      </c>
      <c r="C4" s="129">
        <f>B4*B33</f>
        <v>944.50590360000012</v>
      </c>
      <c r="D4" s="129">
        <f>C4*12</f>
        <v>11334.070843200001</v>
      </c>
    </row>
    <row r="5" spans="1:4" ht="21.75" customHeight="1" x14ac:dyDescent="0.25">
      <c r="A5" s="120" t="s">
        <v>157</v>
      </c>
      <c r="B5" s="123">
        <v>0.44657400000000003</v>
      </c>
      <c r="C5" s="129">
        <f>B5*B33</f>
        <v>2300.302674</v>
      </c>
      <c r="D5" s="129">
        <f>C5*12</f>
        <v>27603.632087999998</v>
      </c>
    </row>
    <row r="6" spans="1:4" ht="33" customHeight="1" x14ac:dyDescent="0.25">
      <c r="A6" s="120" t="s">
        <v>158</v>
      </c>
      <c r="B6" s="123">
        <v>8.5632800000000009E-2</v>
      </c>
      <c r="C6" s="129">
        <f>B6*B33</f>
        <v>441.09455280000003</v>
      </c>
      <c r="D6" s="129">
        <f t="shared" ref="D6:D28" si="0">C6*12</f>
        <v>5293.1346336000006</v>
      </c>
    </row>
    <row r="7" spans="1:4" ht="19.5" customHeight="1" x14ac:dyDescent="0.25">
      <c r="A7" s="120" t="s">
        <v>159</v>
      </c>
      <c r="B7" s="123">
        <v>9.612159773634478E-2</v>
      </c>
      <c r="C7" s="129">
        <f>B7*B33</f>
        <v>495.12234993991194</v>
      </c>
      <c r="D7" s="129">
        <f t="shared" si="0"/>
        <v>5941.4681992789428</v>
      </c>
    </row>
    <row r="8" spans="1:4" ht="18.75" customHeight="1" x14ac:dyDescent="0.25">
      <c r="A8" s="120" t="s">
        <v>160</v>
      </c>
      <c r="B8" s="123">
        <v>0.43615036900019422</v>
      </c>
      <c r="C8" s="129">
        <f>B8*B33</f>
        <v>2246.6105507200004</v>
      </c>
      <c r="D8" s="129">
        <f t="shared" si="0"/>
        <v>26959.326608640004</v>
      </c>
    </row>
    <row r="9" spans="1:4" ht="22.5" customHeight="1" x14ac:dyDescent="0.25">
      <c r="A9" s="118" t="s">
        <v>161</v>
      </c>
      <c r="B9" s="122">
        <f>SUM(B10:B19)</f>
        <v>11.159124334960335</v>
      </c>
      <c r="C9" s="128">
        <f>SUM(C10:C19)</f>
        <v>57480.649449380689</v>
      </c>
      <c r="D9" s="128">
        <f>SUM(D10:D19)</f>
        <v>689767.79339256824</v>
      </c>
    </row>
    <row r="10" spans="1:4" ht="19.5" customHeight="1" x14ac:dyDescent="0.25">
      <c r="A10" s="120" t="s">
        <v>162</v>
      </c>
      <c r="B10" s="123">
        <v>1.6766776000000001</v>
      </c>
      <c r="C10" s="129">
        <f>B10*B33</f>
        <v>8636.5663175999998</v>
      </c>
      <c r="D10" s="129">
        <f t="shared" si="0"/>
        <v>103638.79581119999</v>
      </c>
    </row>
    <row r="11" spans="1:4" ht="21.75" customHeight="1" x14ac:dyDescent="0.25">
      <c r="A11" s="120" t="s">
        <v>163</v>
      </c>
      <c r="B11" s="124">
        <v>0.91744920000000008</v>
      </c>
      <c r="C11" s="129">
        <f>B11*B33</f>
        <v>4725.7808292</v>
      </c>
      <c r="D11" s="129">
        <f t="shared" si="0"/>
        <v>56709.369950399996</v>
      </c>
    </row>
    <row r="12" spans="1:4" ht="21.75" customHeight="1" x14ac:dyDescent="0.25">
      <c r="A12" s="120" t="s">
        <v>164</v>
      </c>
      <c r="B12" s="123">
        <v>0.29360713496033553</v>
      </c>
      <c r="C12" s="129">
        <f>B12*B33</f>
        <v>1512.3703521806883</v>
      </c>
      <c r="D12" s="129">
        <f t="shared" si="0"/>
        <v>18148.44422616826</v>
      </c>
    </row>
    <row r="13" spans="1:4" ht="20.25" customHeight="1" x14ac:dyDescent="0.25">
      <c r="A13" s="120" t="s">
        <v>165</v>
      </c>
      <c r="B13" s="123">
        <v>0.25269039999999998</v>
      </c>
      <c r="C13" s="129">
        <f>B13*B33</f>
        <v>1301.6082503999999</v>
      </c>
      <c r="D13" s="129">
        <f t="shared" si="0"/>
        <v>15619.299004799999</v>
      </c>
    </row>
    <row r="14" spans="1:4" ht="20.25" customHeight="1" x14ac:dyDescent="0.25">
      <c r="A14" s="120" t="s">
        <v>166</v>
      </c>
      <c r="B14" s="123">
        <v>6.2271000000000001</v>
      </c>
      <c r="C14" s="129">
        <f>B14*B33</f>
        <v>32075.792099999999</v>
      </c>
      <c r="D14" s="129">
        <f t="shared" si="0"/>
        <v>384909.50520000001</v>
      </c>
    </row>
    <row r="15" spans="1:4" ht="20.25" customHeight="1" x14ac:dyDescent="0.25">
      <c r="A15" s="120" t="s">
        <v>167</v>
      </c>
      <c r="B15" s="124">
        <v>1.1136999999999999</v>
      </c>
      <c r="C15" s="129">
        <f>B15*B33</f>
        <v>5736.6686999999993</v>
      </c>
      <c r="D15" s="129">
        <f t="shared" si="0"/>
        <v>68840.024399999995</v>
      </c>
    </row>
    <row r="16" spans="1:4" ht="24" customHeight="1" x14ac:dyDescent="0.25">
      <c r="A16" s="120" t="s">
        <v>168</v>
      </c>
      <c r="B16" s="122"/>
      <c r="C16" s="129"/>
      <c r="D16" s="129"/>
    </row>
    <row r="17" spans="1:4" ht="30" customHeight="1" x14ac:dyDescent="0.25">
      <c r="A17" s="120" t="s">
        <v>169</v>
      </c>
      <c r="B17" s="123">
        <v>0.67789999999999995</v>
      </c>
      <c r="C17" s="129">
        <f>B17*B33</f>
        <v>3491.8628999999996</v>
      </c>
      <c r="D17" s="129">
        <f t="shared" si="0"/>
        <v>41902.354799999994</v>
      </c>
    </row>
    <row r="18" spans="1:4" ht="23.25" customHeight="1" x14ac:dyDescent="0.25">
      <c r="A18" s="120" t="s">
        <v>170</v>
      </c>
      <c r="B18" s="122"/>
      <c r="C18" s="129"/>
      <c r="D18" s="129"/>
    </row>
    <row r="19" spans="1:4" ht="18.75" customHeight="1" x14ac:dyDescent="0.25">
      <c r="A19" s="120" t="s">
        <v>171</v>
      </c>
      <c r="B19" s="123"/>
      <c r="C19" s="129"/>
      <c r="D19" s="129"/>
    </row>
    <row r="20" spans="1:4" ht="23.25" customHeight="1" x14ac:dyDescent="0.25">
      <c r="A20" s="118" t="s">
        <v>172</v>
      </c>
      <c r="B20" s="122">
        <f>SUM(B21:B26)</f>
        <v>4.5401898616408136</v>
      </c>
      <c r="C20" s="128">
        <f>SUM(C21:C26)</f>
        <v>23386.517977311829</v>
      </c>
      <c r="D20" s="128">
        <f>SUM(D21:D26)</f>
        <v>280638.21572774195</v>
      </c>
    </row>
    <row r="21" spans="1:4" ht="22.5" customHeight="1" x14ac:dyDescent="0.25">
      <c r="A21" s="120" t="s">
        <v>173</v>
      </c>
      <c r="B21" s="123">
        <v>0</v>
      </c>
      <c r="C21" s="129">
        <f>B21*B33</f>
        <v>0</v>
      </c>
      <c r="D21" s="129">
        <f t="shared" si="0"/>
        <v>0</v>
      </c>
    </row>
    <row r="22" spans="1:4" ht="19.5" customHeight="1" x14ac:dyDescent="0.25">
      <c r="A22" s="120" t="s">
        <v>174</v>
      </c>
      <c r="B22" s="123">
        <v>1.4926959169993095</v>
      </c>
      <c r="C22" s="129">
        <f>B22*B33</f>
        <v>7688.8766684634429</v>
      </c>
      <c r="D22" s="129">
        <f t="shared" si="0"/>
        <v>92266.520021561315</v>
      </c>
    </row>
    <row r="23" spans="1:4" ht="18" customHeight="1" x14ac:dyDescent="0.25">
      <c r="A23" s="120" t="s">
        <v>20</v>
      </c>
      <c r="B23" s="123">
        <v>0</v>
      </c>
      <c r="C23" s="129">
        <f>B23*B33</f>
        <v>0</v>
      </c>
      <c r="D23" s="129">
        <f t="shared" si="0"/>
        <v>0</v>
      </c>
    </row>
    <row r="24" spans="1:4" ht="20.25" customHeight="1" x14ac:dyDescent="0.25">
      <c r="A24" s="120" t="s">
        <v>175</v>
      </c>
      <c r="B24" s="123">
        <v>1.4762355446415036</v>
      </c>
      <c r="C24" s="129">
        <f>B24*B33</f>
        <v>7604.0892904483853</v>
      </c>
      <c r="D24" s="129">
        <f t="shared" si="0"/>
        <v>91249.071485380628</v>
      </c>
    </row>
    <row r="25" spans="1:4" ht="31.5" customHeight="1" x14ac:dyDescent="0.25">
      <c r="A25" s="120" t="s">
        <v>176</v>
      </c>
      <c r="B25" s="123">
        <v>0.3886</v>
      </c>
      <c r="C25" s="129">
        <f>B25*B33</f>
        <v>2001.6786</v>
      </c>
      <c r="D25" s="129">
        <f t="shared" si="0"/>
        <v>24020.143199999999</v>
      </c>
    </row>
    <row r="26" spans="1:4" ht="24" customHeight="1" x14ac:dyDescent="0.25">
      <c r="A26" s="120" t="s">
        <v>177</v>
      </c>
      <c r="B26" s="123">
        <v>1.1826584000000002</v>
      </c>
      <c r="C26" s="129">
        <f>B26*B33</f>
        <v>6091.8734184000014</v>
      </c>
      <c r="D26" s="129">
        <f t="shared" si="0"/>
        <v>73102.481020800013</v>
      </c>
    </row>
    <row r="27" spans="1:4" ht="24" customHeight="1" x14ac:dyDescent="0.25">
      <c r="A27" s="118" t="s">
        <v>178</v>
      </c>
      <c r="B27" s="122">
        <v>1.2020152000000002</v>
      </c>
      <c r="C27" s="129">
        <f>B27*B33</f>
        <v>6191.5802952000013</v>
      </c>
      <c r="D27" s="129">
        <f t="shared" si="0"/>
        <v>74298.963542400015</v>
      </c>
    </row>
    <row r="28" spans="1:4" ht="22.5" customHeight="1" x14ac:dyDescent="0.25">
      <c r="A28" s="118" t="s">
        <v>179</v>
      </c>
      <c r="B28" s="122">
        <v>3.4170012000000001</v>
      </c>
      <c r="C28" s="129">
        <f>B28*B33</f>
        <v>17600.973181199999</v>
      </c>
      <c r="D28" s="129">
        <f t="shared" si="0"/>
        <v>211211.6781744</v>
      </c>
    </row>
    <row r="29" spans="1:4" ht="36" customHeight="1" x14ac:dyDescent="0.25">
      <c r="A29" s="118" t="s">
        <v>180</v>
      </c>
      <c r="B29" s="122"/>
      <c r="C29" s="129"/>
      <c r="D29" s="129"/>
    </row>
    <row r="30" spans="1:4" ht="18.75" customHeight="1" x14ac:dyDescent="0.25">
      <c r="A30" s="118" t="s">
        <v>181</v>
      </c>
      <c r="B30" s="125"/>
      <c r="C30" s="129"/>
      <c r="D30" s="129"/>
    </row>
    <row r="31" spans="1:4" ht="20.25" customHeight="1" x14ac:dyDescent="0.25">
      <c r="A31" s="118" t="s">
        <v>182</v>
      </c>
      <c r="B31" s="125"/>
      <c r="C31" s="129"/>
      <c r="D31" s="129"/>
    </row>
    <row r="32" spans="1:4" ht="20.25" customHeight="1" x14ac:dyDescent="0.25">
      <c r="A32" s="121" t="s">
        <v>154</v>
      </c>
      <c r="B32" s="122">
        <f>B28+B27+B20+B9+B3</f>
        <v>21.566172963337689</v>
      </c>
      <c r="C32" s="128">
        <f>C28+C27+C20+C9+C3</f>
        <v>111087.35693415244</v>
      </c>
      <c r="D32" s="128">
        <f>D28+D27+D20+D9+D3</f>
        <v>1333048.2832098294</v>
      </c>
    </row>
    <row r="33" spans="1:2" ht="19.5" customHeight="1" x14ac:dyDescent="0.25">
      <c r="A33" s="127" t="s">
        <v>99</v>
      </c>
      <c r="B33" s="96">
        <v>5151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opLeftCell="A94" zoomScaleNormal="100" workbookViewId="0">
      <selection activeCell="B76" sqref="B76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2.855468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68" t="s">
        <v>47</v>
      </c>
      <c r="B1" s="48"/>
      <c r="C1" s="48"/>
      <c r="D1" s="48"/>
      <c r="E1" s="48"/>
    </row>
    <row r="2" spans="1:10" ht="26.25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46" t="s">
        <v>186</v>
      </c>
      <c r="B3" s="146"/>
      <c r="C3" s="146"/>
      <c r="D3" s="146"/>
      <c r="E3" s="146"/>
      <c r="F3" s="20"/>
    </row>
    <row r="4" spans="1:10" ht="22.5" customHeight="1" x14ac:dyDescent="0.25">
      <c r="A4" s="57" t="s">
        <v>1</v>
      </c>
      <c r="B4" s="147" t="str">
        <f>'тариф 20-19'!B2</f>
        <v>Тимирязева, 27 /2/3/4/5/6</v>
      </c>
      <c r="C4" s="148"/>
      <c r="D4" s="148"/>
      <c r="E4" s="149"/>
      <c r="F4" s="25"/>
    </row>
    <row r="5" spans="1:10" ht="20.25" customHeight="1" x14ac:dyDescent="0.25">
      <c r="A5" s="150" t="s">
        <v>30</v>
      </c>
      <c r="B5" s="153" t="s">
        <v>44</v>
      </c>
      <c r="C5" s="154"/>
      <c r="D5" s="51" t="s">
        <v>45</v>
      </c>
      <c r="E5" s="51" t="s">
        <v>72</v>
      </c>
    </row>
    <row r="6" spans="1:10" ht="18" customHeight="1" x14ac:dyDescent="0.25">
      <c r="A6" s="151"/>
      <c r="B6" s="24" t="s">
        <v>43</v>
      </c>
      <c r="C6" s="24" t="s">
        <v>187</v>
      </c>
      <c r="D6" s="24" t="s">
        <v>187</v>
      </c>
      <c r="E6" s="24" t="s">
        <v>73</v>
      </c>
      <c r="F6" s="26"/>
    </row>
    <row r="7" spans="1:10" ht="15.75" x14ac:dyDescent="0.25">
      <c r="A7" s="152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2974.9651199999994</v>
      </c>
      <c r="C9" s="15">
        <f>C10+C15+C20+C25+C30</f>
        <v>26774.686079999999</v>
      </c>
      <c r="D9" s="15">
        <f t="shared" ref="D9" si="0">D10+D15+D20+D25+D30</f>
        <v>0</v>
      </c>
      <c r="E9" s="15">
        <f>C9-D9</f>
        <v>26774.686079999999</v>
      </c>
      <c r="F9" s="23">
        <f>'тариф 20-19'!C5</f>
        <v>2974.9651199999994</v>
      </c>
      <c r="G9" s="106">
        <v>0</v>
      </c>
    </row>
    <row r="10" spans="1:10" ht="63.75" customHeight="1" x14ac:dyDescent="0.25">
      <c r="A10" s="31" t="s">
        <v>3</v>
      </c>
      <c r="B10" s="35">
        <f>F10</f>
        <v>247.91376</v>
      </c>
      <c r="C10" s="35">
        <f>B10*9</f>
        <v>2231.2238400000001</v>
      </c>
      <c r="D10" s="35">
        <f>SUM(D11:D14)</f>
        <v>0</v>
      </c>
      <c r="E10" s="15">
        <f t="shared" ref="E10:E72" si="1">C10-D10</f>
        <v>2231.2238400000001</v>
      </c>
      <c r="F10" s="22">
        <f>'тариф 20-19'!C6</f>
        <v>247.91376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>
        <f t="shared" ref="C11:C34" si="2">B11*9</f>
        <v>0</v>
      </c>
      <c r="D11" s="35">
        <v>0</v>
      </c>
      <c r="E11" s="15"/>
      <c r="F11" s="109">
        <f>(G14+H14)/1.2</f>
        <v>189.24590456414847</v>
      </c>
      <c r="G11" s="18">
        <v>20387</v>
      </c>
      <c r="H11" s="1">
        <v>22182</v>
      </c>
      <c r="J11" s="18"/>
    </row>
    <row r="12" spans="1:10" ht="14.25" customHeight="1" x14ac:dyDescent="0.25">
      <c r="A12" s="36" t="s">
        <v>37</v>
      </c>
      <c r="B12" s="35"/>
      <c r="C12" s="35">
        <f t="shared" si="2"/>
        <v>0</v>
      </c>
      <c r="D12" s="35">
        <v>0</v>
      </c>
      <c r="E12" s="15"/>
      <c r="F12" s="109">
        <f>F11*0.302</f>
        <v>57.152263178372834</v>
      </c>
      <c r="G12" s="84">
        <f>('ТХ МКД'!B7+'ТХ МКД'!B28*0.5)*0.0111/1000</f>
        <v>6.1972410000000006E-2</v>
      </c>
      <c r="H12" s="84">
        <f>('ТХ МКД'!B7+'ТХ МКД'!B28*0.5)*0.00539/1000</f>
        <v>3.0092909000000001E-2</v>
      </c>
      <c r="I12" s="100"/>
    </row>
    <row r="13" spans="1:10" ht="14.25" customHeight="1" x14ac:dyDescent="0.25">
      <c r="A13" s="36" t="s">
        <v>38</v>
      </c>
      <c r="B13" s="35"/>
      <c r="C13" s="35">
        <f t="shared" si="2"/>
        <v>0</v>
      </c>
      <c r="D13" s="35">
        <v>0</v>
      </c>
      <c r="E13" s="15"/>
      <c r="F13" s="109">
        <f>F10-F11-F12</f>
        <v>1.5155922574786871</v>
      </c>
      <c r="G13" s="84">
        <f>G12*0.109</f>
        <v>6.7549926900000003E-3</v>
      </c>
      <c r="H13" s="84">
        <f>H12*0.1339</f>
        <v>4.0294405150999996E-3</v>
      </c>
    </row>
    <row r="14" spans="1:10" ht="14.25" customHeight="1" x14ac:dyDescent="0.25">
      <c r="A14" s="36" t="s">
        <v>0</v>
      </c>
      <c r="B14" s="35"/>
      <c r="C14" s="35">
        <f t="shared" si="2"/>
        <v>0</v>
      </c>
      <c r="D14" s="35">
        <v>0</v>
      </c>
      <c r="E14" s="15"/>
      <c r="F14" s="22"/>
      <c r="G14" s="101">
        <f>G11*G13</f>
        <v>137.71403597103</v>
      </c>
      <c r="H14" s="101">
        <f>H11*H13</f>
        <v>89.381049505948184</v>
      </c>
    </row>
    <row r="15" spans="1:10" ht="33.75" customHeight="1" x14ac:dyDescent="0.25">
      <c r="A15" s="31" t="s">
        <v>4</v>
      </c>
      <c r="B15" s="35">
        <f>F15</f>
        <v>1208.5795799999999</v>
      </c>
      <c r="C15" s="35">
        <f t="shared" si="2"/>
        <v>10877.216219999998</v>
      </c>
      <c r="D15" s="35">
        <f>SUM(D16:D19)</f>
        <v>0</v>
      </c>
      <c r="E15" s="15">
        <f t="shared" si="1"/>
        <v>10877.216219999998</v>
      </c>
      <c r="F15" s="22">
        <f>'тариф 20-19'!C7</f>
        <v>1208.5795799999999</v>
      </c>
      <c r="G15" s="107" t="s">
        <v>135</v>
      </c>
      <c r="H15" s="107" t="s">
        <v>136</v>
      </c>
      <c r="I15" s="107" t="s">
        <v>137</v>
      </c>
    </row>
    <row r="16" spans="1:10" ht="15.75" customHeight="1" x14ac:dyDescent="0.25">
      <c r="A16" s="38" t="s">
        <v>36</v>
      </c>
      <c r="B16" s="35"/>
      <c r="C16" s="35">
        <f t="shared" si="2"/>
        <v>0</v>
      </c>
      <c r="D16" s="35">
        <v>0</v>
      </c>
      <c r="E16" s="15"/>
      <c r="F16" s="22">
        <f>G19+H19</f>
        <v>810.94760178484057</v>
      </c>
      <c r="G16" s="1">
        <v>22182</v>
      </c>
      <c r="H16" s="1">
        <v>20387</v>
      </c>
      <c r="I16" s="1">
        <v>17438</v>
      </c>
    </row>
    <row r="17" spans="1:9" ht="17.25" customHeight="1" x14ac:dyDescent="0.25">
      <c r="A17" s="37" t="s">
        <v>37</v>
      </c>
      <c r="B17" s="35"/>
      <c r="C17" s="35">
        <f t="shared" si="2"/>
        <v>0</v>
      </c>
      <c r="D17" s="35">
        <v>0</v>
      </c>
      <c r="E17" s="15"/>
      <c r="F17" s="22">
        <f>F16*0.302</f>
        <v>244.90617573902185</v>
      </c>
      <c r="G17" s="84">
        <f>('ТХ МКД'!B7+'ТХ МКД'!B28*0.5)*0.0018/1000</f>
        <v>1.0049580000000001E-2</v>
      </c>
      <c r="H17" s="84">
        <f>('ТХ МКД'!B7+'ТХ МКД'!B28*0.5)*0.02295/1000</f>
        <v>0.128132145</v>
      </c>
      <c r="I17" s="84">
        <f>('ТХ МКД'!B7+'ТХ МКД'!B28*0.5)*0.02295/1000</f>
        <v>0.128132145</v>
      </c>
    </row>
    <row r="18" spans="1:9" ht="17.25" customHeight="1" x14ac:dyDescent="0.25">
      <c r="A18" s="37" t="s">
        <v>38</v>
      </c>
      <c r="B18" s="35"/>
      <c r="C18" s="35">
        <f t="shared" si="2"/>
        <v>0</v>
      </c>
      <c r="D18" s="35">
        <v>0</v>
      </c>
      <c r="E18" s="15"/>
      <c r="F18" s="22">
        <f>F15-F16-F17</f>
        <v>152.72580247613743</v>
      </c>
      <c r="G18" s="84">
        <f>G17*0.5079</f>
        <v>5.1041816820000009E-3</v>
      </c>
      <c r="H18" s="84">
        <f>H17*0.2671</f>
        <v>3.4224095929500001E-2</v>
      </c>
      <c r="I18" s="18"/>
    </row>
    <row r="19" spans="1:9" ht="17.25" customHeight="1" x14ac:dyDescent="0.25">
      <c r="A19" s="37" t="s">
        <v>0</v>
      </c>
      <c r="B19" s="35"/>
      <c r="C19" s="35">
        <f t="shared" si="2"/>
        <v>0</v>
      </c>
      <c r="D19" s="35">
        <v>0</v>
      </c>
      <c r="E19" s="15"/>
      <c r="F19" s="22"/>
      <c r="G19" s="101">
        <f>G16*G18</f>
        <v>113.22095807012403</v>
      </c>
      <c r="H19" s="101">
        <f>H16*H18</f>
        <v>697.72664371471649</v>
      </c>
      <c r="I19" s="102">
        <f>I18/2</f>
        <v>0</v>
      </c>
    </row>
    <row r="20" spans="1:9" ht="63.75" customHeight="1" x14ac:dyDescent="0.25">
      <c r="A20" s="31" t="s">
        <v>5</v>
      </c>
      <c r="B20" s="35">
        <f>F20</f>
        <v>115.82856</v>
      </c>
      <c r="C20" s="35">
        <f t="shared" si="2"/>
        <v>1042.45704</v>
      </c>
      <c r="D20" s="35">
        <f>SUM(D21:D24)</f>
        <v>0</v>
      </c>
      <c r="E20" s="15">
        <f t="shared" si="1"/>
        <v>1042.45704</v>
      </c>
      <c r="F20" s="22">
        <f>'тариф 20-19'!C8</f>
        <v>115.82856</v>
      </c>
      <c r="G20" s="107" t="s">
        <v>138</v>
      </c>
    </row>
    <row r="21" spans="1:9" ht="15.75" x14ac:dyDescent="0.25">
      <c r="A21" s="37" t="s">
        <v>36</v>
      </c>
      <c r="B21" s="35"/>
      <c r="C21" s="35">
        <f t="shared" si="2"/>
        <v>0</v>
      </c>
      <c r="D21" s="35">
        <v>0</v>
      </c>
      <c r="E21" s="15"/>
      <c r="F21" s="109">
        <f>G24/1.5</f>
        <v>80.320553334540804</v>
      </c>
      <c r="G21" s="1">
        <v>20387</v>
      </c>
    </row>
    <row r="22" spans="1:9" ht="15.75" x14ac:dyDescent="0.25">
      <c r="A22" s="37" t="s">
        <v>37</v>
      </c>
      <c r="B22" s="35"/>
      <c r="C22" s="35">
        <f t="shared" si="2"/>
        <v>0</v>
      </c>
      <c r="D22" s="35">
        <v>0</v>
      </c>
      <c r="E22" s="15"/>
      <c r="F22" s="109">
        <f>F21*0.302</f>
        <v>24.256807107031321</v>
      </c>
      <c r="G22" s="84">
        <f>('ТХ МКД'!B7+'ТХ МКД'!B28*0.5)*0.00888/1000</f>
        <v>4.9577928000000007E-2</v>
      </c>
    </row>
    <row r="23" spans="1:9" ht="15.75" x14ac:dyDescent="0.25">
      <c r="A23" s="37" t="s">
        <v>38</v>
      </c>
      <c r="B23" s="35"/>
      <c r="C23" s="35">
        <f t="shared" si="2"/>
        <v>0</v>
      </c>
      <c r="D23" s="35">
        <v>0</v>
      </c>
      <c r="E23" s="15"/>
      <c r="F23" s="109">
        <f>F20-F21-F22</f>
        <v>11.251199558427871</v>
      </c>
      <c r="G23" s="84">
        <f>G22*0.1192</f>
        <v>5.9096890176000005E-3</v>
      </c>
      <c r="H23" s="2"/>
    </row>
    <row r="24" spans="1:9" ht="15.75" x14ac:dyDescent="0.25">
      <c r="A24" s="37" t="s">
        <v>0</v>
      </c>
      <c r="B24" s="35"/>
      <c r="C24" s="35">
        <f t="shared" si="2"/>
        <v>0</v>
      </c>
      <c r="D24" s="35">
        <v>0</v>
      </c>
      <c r="E24" s="15"/>
      <c r="F24" s="22"/>
      <c r="G24" s="101">
        <f>G21*G23</f>
        <v>120.48083000181121</v>
      </c>
    </row>
    <row r="25" spans="1:9" ht="15.75" x14ac:dyDescent="0.25">
      <c r="A25" s="31" t="s">
        <v>6</v>
      </c>
      <c r="B25" s="35">
        <f>F25</f>
        <v>472.96661999999998</v>
      </c>
      <c r="C25" s="35">
        <f t="shared" si="2"/>
        <v>4256.6995799999995</v>
      </c>
      <c r="D25" s="35">
        <f>SUM(D26:D29)</f>
        <v>0</v>
      </c>
      <c r="E25" s="15">
        <f t="shared" si="1"/>
        <v>4256.6995799999995</v>
      </c>
      <c r="F25" s="22">
        <f>'тариф 20-19'!C9</f>
        <v>472.96661999999998</v>
      </c>
      <c r="G25" s="107" t="s">
        <v>139</v>
      </c>
    </row>
    <row r="26" spans="1:9" ht="15.75" x14ac:dyDescent="0.25">
      <c r="A26" s="37" t="s">
        <v>36</v>
      </c>
      <c r="B26" s="35"/>
      <c r="C26" s="35">
        <f t="shared" si="2"/>
        <v>0</v>
      </c>
      <c r="D26" s="35">
        <v>0</v>
      </c>
      <c r="E26" s="15"/>
      <c r="F26" s="22">
        <f>G28</f>
        <v>357.72149087999998</v>
      </c>
      <c r="G26" s="1">
        <v>12822</v>
      </c>
    </row>
    <row r="27" spans="1:9" ht="15.75" x14ac:dyDescent="0.25">
      <c r="A27" s="37" t="s">
        <v>37</v>
      </c>
      <c r="B27" s="35"/>
      <c r="C27" s="35">
        <f t="shared" si="2"/>
        <v>0</v>
      </c>
      <c r="D27" s="35">
        <v>0</v>
      </c>
      <c r="E27" s="15"/>
      <c r="F27" s="22">
        <f>F26*0.302</f>
        <v>108.03189024576</v>
      </c>
      <c r="G27" s="84">
        <f>'ТХ МКД'!B27*0.0263/1000</f>
        <v>2.789904E-2</v>
      </c>
    </row>
    <row r="28" spans="1:9" ht="15.75" x14ac:dyDescent="0.25">
      <c r="A28" s="37" t="s">
        <v>38</v>
      </c>
      <c r="B28" s="35"/>
      <c r="C28" s="35">
        <f t="shared" si="2"/>
        <v>0</v>
      </c>
      <c r="D28" s="35">
        <v>0</v>
      </c>
      <c r="E28" s="15"/>
      <c r="F28" s="22">
        <f>F25-F26-F27</f>
        <v>7.2132388742400053</v>
      </c>
      <c r="G28" s="101">
        <f>G26*G27</f>
        <v>357.72149087999998</v>
      </c>
      <c r="H28" s="2"/>
    </row>
    <row r="29" spans="1:9" ht="15.75" x14ac:dyDescent="0.25">
      <c r="A29" s="37" t="s">
        <v>0</v>
      </c>
      <c r="B29" s="35"/>
      <c r="C29" s="35">
        <f t="shared" si="2"/>
        <v>0</v>
      </c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929.67659999999989</v>
      </c>
      <c r="C30" s="35">
        <f t="shared" si="2"/>
        <v>8367.0893999999989</v>
      </c>
      <c r="D30" s="35">
        <f>SUM(D31:D34)</f>
        <v>0</v>
      </c>
      <c r="E30" s="15">
        <f t="shared" si="1"/>
        <v>8367.0893999999989</v>
      </c>
      <c r="F30" s="22">
        <f>'тариф 20-19'!C10</f>
        <v>929.67659999999989</v>
      </c>
      <c r="G30" s="107" t="s">
        <v>140</v>
      </c>
    </row>
    <row r="31" spans="1:9" ht="15.75" x14ac:dyDescent="0.25">
      <c r="A31" s="37" t="s">
        <v>36</v>
      </c>
      <c r="B31" s="35"/>
      <c r="C31" s="35">
        <f t="shared" si="2"/>
        <v>0</v>
      </c>
      <c r="D31" s="35"/>
      <c r="E31" s="15"/>
      <c r="F31" s="22">
        <f>G34</f>
        <v>298.77812202862407</v>
      </c>
      <c r="G31" s="1">
        <v>20387</v>
      </c>
    </row>
    <row r="32" spans="1:9" ht="15.75" x14ac:dyDescent="0.25">
      <c r="A32" s="37" t="s">
        <v>37</v>
      </c>
      <c r="B32" s="35"/>
      <c r="C32" s="35">
        <f t="shared" si="2"/>
        <v>0</v>
      </c>
      <c r="D32" s="35"/>
      <c r="E32" s="15"/>
      <c r="F32" s="22">
        <f>F31*0.302</f>
        <v>90.230992852644462</v>
      </c>
      <c r="G32" s="84">
        <f>'ТХ МКД'!B21/1000*0.0763</f>
        <v>9.4795120000000024E-2</v>
      </c>
    </row>
    <row r="33" spans="1:8" ht="15.75" customHeight="1" x14ac:dyDescent="0.25">
      <c r="A33" s="37" t="s">
        <v>83</v>
      </c>
      <c r="B33" s="35"/>
      <c r="C33" s="35">
        <f t="shared" si="2"/>
        <v>0</v>
      </c>
      <c r="D33" s="35"/>
      <c r="E33" s="15"/>
      <c r="F33" s="22">
        <f>F30-F31-F32</f>
        <v>540.66748511873129</v>
      </c>
      <c r="G33" s="84">
        <f>G32*0.1546</f>
        <v>1.4655325552000003E-2</v>
      </c>
      <c r="H33" s="2"/>
    </row>
    <row r="34" spans="1:8" ht="15.75" x14ac:dyDescent="0.25">
      <c r="A34" s="37" t="s">
        <v>0</v>
      </c>
      <c r="B34" s="35"/>
      <c r="C34" s="35">
        <f t="shared" si="2"/>
        <v>0</v>
      </c>
      <c r="D34" s="35"/>
      <c r="E34" s="15"/>
      <c r="F34" s="22"/>
      <c r="G34" s="101">
        <f>G31*G33</f>
        <v>298.77812202862407</v>
      </c>
    </row>
    <row r="35" spans="1:8" ht="31.5" x14ac:dyDescent="0.25">
      <c r="A35" s="29" t="s">
        <v>8</v>
      </c>
      <c r="B35" s="15">
        <f>B36+B41+B46+B51+B56+B58+B60+B62</f>
        <v>43610.976900000001</v>
      </c>
      <c r="C35" s="15">
        <f t="shared" ref="C35:D35" si="3">C36+C41+C46+C51+C56+C58+C60+C62</f>
        <v>392498.79210000002</v>
      </c>
      <c r="D35" s="15">
        <f t="shared" si="3"/>
        <v>0</v>
      </c>
      <c r="E35" s="15">
        <f t="shared" si="1"/>
        <v>392498.79210000002</v>
      </c>
      <c r="F35" s="23">
        <f>'тариф 20-19'!C12</f>
        <v>43610.976900000001</v>
      </c>
      <c r="G35" s="103"/>
    </row>
    <row r="36" spans="1:8" ht="31.5" customHeight="1" x14ac:dyDescent="0.25">
      <c r="A36" s="31" t="s">
        <v>9</v>
      </c>
      <c r="B36" s="35">
        <f>F36</f>
        <v>4537.12662</v>
      </c>
      <c r="C36" s="35">
        <f>B36*9</f>
        <v>40834.139580000003</v>
      </c>
      <c r="D36" s="35">
        <f>SUM(D37:D40)</f>
        <v>0</v>
      </c>
      <c r="E36" s="15">
        <f t="shared" si="1"/>
        <v>40834.139580000003</v>
      </c>
      <c r="F36" s="22">
        <f>'тариф 20-19'!C13</f>
        <v>4537.12662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>
        <f t="shared" ref="C37:C63" si="4">B37*9</f>
        <v>0</v>
      </c>
      <c r="D37" s="35">
        <v>0</v>
      </c>
      <c r="E37" s="15"/>
      <c r="F37" s="22">
        <f>G40+H40</f>
        <v>2519.8665799449814</v>
      </c>
      <c r="G37" s="1">
        <v>23336</v>
      </c>
      <c r="H37" s="1">
        <v>23336</v>
      </c>
    </row>
    <row r="38" spans="1:8" ht="15.75" x14ac:dyDescent="0.25">
      <c r="A38" s="37" t="s">
        <v>37</v>
      </c>
      <c r="B38" s="35"/>
      <c r="C38" s="35">
        <f t="shared" si="4"/>
        <v>0</v>
      </c>
      <c r="D38" s="35">
        <v>0</v>
      </c>
      <c r="E38" s="15"/>
      <c r="F38" s="22">
        <f>F37*0.302</f>
        <v>760.9997071433844</v>
      </c>
      <c r="G38" s="84">
        <f>'ТХ МКД'!B14/325</f>
        <v>0.29230769230769232</v>
      </c>
      <c r="H38" s="84">
        <f>('ТХ МКД'!B7+'ТХ МКД'!B28*0.5)*0.01631/1000</f>
        <v>9.106036100000002E-2</v>
      </c>
    </row>
    <row r="39" spans="1:8" ht="15.75" x14ac:dyDescent="0.25">
      <c r="A39" s="37" t="s">
        <v>38</v>
      </c>
      <c r="B39" s="35"/>
      <c r="C39" s="35">
        <f t="shared" si="4"/>
        <v>0</v>
      </c>
      <c r="D39" s="35">
        <v>0</v>
      </c>
      <c r="E39" s="15"/>
      <c r="F39" s="22">
        <f>F36-F37-F38</f>
        <v>1256.2603329116341</v>
      </c>
      <c r="G39" s="84">
        <f>G38*0.312746</f>
        <v>9.1418061538461548E-2</v>
      </c>
      <c r="H39" s="19">
        <f>H38*0.1819</f>
        <v>1.6563879665900005E-2</v>
      </c>
    </row>
    <row r="40" spans="1:8" ht="15.75" x14ac:dyDescent="0.25">
      <c r="A40" s="37" t="s">
        <v>0</v>
      </c>
      <c r="B40" s="35"/>
      <c r="C40" s="35">
        <f t="shared" si="4"/>
        <v>0</v>
      </c>
      <c r="D40" s="35">
        <v>0</v>
      </c>
      <c r="E40" s="15"/>
      <c r="F40" s="22"/>
      <c r="G40" s="101">
        <f>G37*G39</f>
        <v>2133.3318840615389</v>
      </c>
      <c r="H40" s="101">
        <f>H37*H39</f>
        <v>386.53469588344251</v>
      </c>
    </row>
    <row r="41" spans="1:8" ht="15.75" x14ac:dyDescent="0.25">
      <c r="A41" s="31" t="s">
        <v>10</v>
      </c>
      <c r="B41" s="35">
        <f>F41</f>
        <v>901.22748000000001</v>
      </c>
      <c r="C41" s="35">
        <f t="shared" si="4"/>
        <v>8111.0473199999997</v>
      </c>
      <c r="D41" s="35">
        <f>SUM(D42:D45)</f>
        <v>0</v>
      </c>
      <c r="E41" s="15">
        <f t="shared" si="1"/>
        <v>8111.0473199999997</v>
      </c>
      <c r="F41" s="22">
        <f>'тариф 20-19'!C14</f>
        <v>901.22748000000001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>
        <f t="shared" si="4"/>
        <v>0</v>
      </c>
      <c r="D42" s="35">
        <v>0</v>
      </c>
      <c r="E42" s="15"/>
      <c r="F42" s="109">
        <f>G45/1.7</f>
        <v>614.49191846636495</v>
      </c>
      <c r="G42" s="1">
        <v>23336</v>
      </c>
    </row>
    <row r="43" spans="1:8" ht="15.75" x14ac:dyDescent="0.25">
      <c r="A43" s="37" t="s">
        <v>37</v>
      </c>
      <c r="B43" s="35"/>
      <c r="C43" s="35">
        <f t="shared" si="4"/>
        <v>0</v>
      </c>
      <c r="D43" s="35">
        <v>0</v>
      </c>
      <c r="E43" s="15"/>
      <c r="F43" s="109">
        <f>F42*0.302</f>
        <v>185.5765593768422</v>
      </c>
      <c r="G43" s="84">
        <f>('ТХ МКД'!B7+'ТХ МКД'!B28*0.5)/39000</f>
        <v>0.14315641025641027</v>
      </c>
    </row>
    <row r="44" spans="1:8" ht="15.75" x14ac:dyDescent="0.25">
      <c r="A44" s="37" t="s">
        <v>38</v>
      </c>
      <c r="B44" s="35"/>
      <c r="C44" s="35">
        <f t="shared" si="4"/>
        <v>0</v>
      </c>
      <c r="D44" s="35">
        <v>0</v>
      </c>
      <c r="E44" s="15"/>
      <c r="F44" s="109">
        <f>F41-F42-F43</f>
        <v>101.15900215679287</v>
      </c>
      <c r="G44" s="84">
        <f>G43*0.3127</f>
        <v>4.4765009487179486E-2</v>
      </c>
    </row>
    <row r="45" spans="1:8" ht="15.75" x14ac:dyDescent="0.25">
      <c r="A45" s="37" t="s">
        <v>0</v>
      </c>
      <c r="B45" s="35"/>
      <c r="C45" s="35">
        <f t="shared" si="4"/>
        <v>0</v>
      </c>
      <c r="D45" s="35">
        <v>0</v>
      </c>
      <c r="E45" s="15"/>
      <c r="F45" s="22"/>
      <c r="G45" s="101">
        <f>G42*G44</f>
        <v>1044.6362613928204</v>
      </c>
    </row>
    <row r="46" spans="1:8" ht="15.75" x14ac:dyDescent="0.25">
      <c r="A46" s="31" t="s">
        <v>11</v>
      </c>
      <c r="B46" s="35">
        <f>F46</f>
        <v>1281.2264399999999</v>
      </c>
      <c r="C46" s="35">
        <f t="shared" si="4"/>
        <v>11531.03796</v>
      </c>
      <c r="D46" s="35">
        <f>SUM(D47:D50)</f>
        <v>0</v>
      </c>
      <c r="E46" s="15">
        <f t="shared" si="1"/>
        <v>11531.03796</v>
      </c>
      <c r="F46" s="22">
        <f>'тариф 20-19'!C15</f>
        <v>1281.2264399999999</v>
      </c>
      <c r="G46" s="107" t="s">
        <v>143</v>
      </c>
    </row>
    <row r="47" spans="1:8" ht="15.75" x14ac:dyDescent="0.25">
      <c r="A47" s="37" t="s">
        <v>36</v>
      </c>
      <c r="B47" s="35"/>
      <c r="C47" s="35">
        <f t="shared" si="4"/>
        <v>0</v>
      </c>
      <c r="D47" s="35">
        <v>0</v>
      </c>
      <c r="E47" s="15"/>
      <c r="F47" s="22">
        <f>G49</f>
        <v>936.57333333333338</v>
      </c>
      <c r="G47" s="1">
        <v>22182</v>
      </c>
    </row>
    <row r="48" spans="1:8" ht="15.75" x14ac:dyDescent="0.25">
      <c r="A48" s="37" t="s">
        <v>37</v>
      </c>
      <c r="B48" s="35"/>
      <c r="C48" s="35">
        <f t="shared" si="4"/>
        <v>0</v>
      </c>
      <c r="D48" s="35">
        <v>0</v>
      </c>
      <c r="E48" s="15"/>
      <c r="F48" s="22">
        <f>F47*0.302</f>
        <v>282.84514666666666</v>
      </c>
      <c r="G48" s="84">
        <f>'ТХ МКД'!B16/2250</f>
        <v>4.2222222222222223E-2</v>
      </c>
    </row>
    <row r="49" spans="1:7" ht="15.75" x14ac:dyDescent="0.25">
      <c r="A49" s="37" t="s">
        <v>38</v>
      </c>
      <c r="B49" s="35"/>
      <c r="C49" s="35">
        <f t="shared" si="4"/>
        <v>0</v>
      </c>
      <c r="D49" s="35">
        <v>0</v>
      </c>
      <c r="E49" s="15"/>
      <c r="F49" s="22">
        <f>F46-F47-F48</f>
        <v>61.807959999999866</v>
      </c>
      <c r="G49" s="101">
        <f>G47*G48</f>
        <v>936.57333333333338</v>
      </c>
    </row>
    <row r="50" spans="1:7" ht="15.75" x14ac:dyDescent="0.25">
      <c r="A50" s="37" t="s">
        <v>0</v>
      </c>
      <c r="B50" s="35"/>
      <c r="C50" s="35">
        <f t="shared" si="4"/>
        <v>0</v>
      </c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341.89745999999997</v>
      </c>
      <c r="C51" s="35">
        <f t="shared" si="4"/>
        <v>3077.0771399999999</v>
      </c>
      <c r="D51" s="35">
        <f>SUM(D52:D55)</f>
        <v>0</v>
      </c>
      <c r="E51" s="15">
        <f t="shared" si="1"/>
        <v>3077.0771399999999</v>
      </c>
      <c r="F51" s="22">
        <f>'тариф 20-19'!C16</f>
        <v>341.89745999999997</v>
      </c>
      <c r="G51" s="107" t="s">
        <v>144</v>
      </c>
    </row>
    <row r="52" spans="1:7" ht="15.75" x14ac:dyDescent="0.25">
      <c r="A52" s="37" t="s">
        <v>74</v>
      </c>
      <c r="B52" s="35"/>
      <c r="C52" s="35">
        <f t="shared" si="4"/>
        <v>0</v>
      </c>
      <c r="D52" s="35"/>
      <c r="E52" s="15"/>
      <c r="F52" s="109">
        <f>G55/2</f>
        <v>259.19666999999998</v>
      </c>
      <c r="G52" s="1">
        <v>22182</v>
      </c>
    </row>
    <row r="53" spans="1:7" ht="15.75" x14ac:dyDescent="0.25">
      <c r="A53" s="37" t="s">
        <v>37</v>
      </c>
      <c r="B53" s="35"/>
      <c r="C53" s="35">
        <f t="shared" si="4"/>
        <v>0</v>
      </c>
      <c r="D53" s="35"/>
      <c r="E53" s="15"/>
      <c r="F53" s="109">
        <f>F52*0.302</f>
        <v>78.277394339999987</v>
      </c>
      <c r="G53" s="1">
        <f>'ТХ МКД'!B12/1250</f>
        <v>7.5999999999999998E-2</v>
      </c>
    </row>
    <row r="54" spans="1:7" ht="15.75" x14ac:dyDescent="0.25">
      <c r="A54" s="37" t="s">
        <v>38</v>
      </c>
      <c r="B54" s="35"/>
      <c r="C54" s="35">
        <f t="shared" si="4"/>
        <v>0</v>
      </c>
      <c r="D54" s="35"/>
      <c r="E54" s="15"/>
      <c r="F54" s="22">
        <f>F51-F52-F53</f>
        <v>4.4233956599999971</v>
      </c>
      <c r="G54" s="84">
        <f>G53*0.3075</f>
        <v>2.3369999999999998E-2</v>
      </c>
    </row>
    <row r="55" spans="1:7" ht="15.75" x14ac:dyDescent="0.25">
      <c r="A55" s="37" t="s">
        <v>0</v>
      </c>
      <c r="B55" s="35"/>
      <c r="C55" s="35">
        <f t="shared" si="4"/>
        <v>0</v>
      </c>
      <c r="D55" s="35"/>
      <c r="E55" s="15"/>
      <c r="F55" s="22"/>
      <c r="G55" s="101">
        <f>G52*G54</f>
        <v>518.39333999999997</v>
      </c>
    </row>
    <row r="56" spans="1:7" ht="31.5" x14ac:dyDescent="0.25">
      <c r="A56" s="31" t="s">
        <v>13</v>
      </c>
      <c r="B56" s="35">
        <f>B57</f>
        <v>25981.15884</v>
      </c>
      <c r="C56" s="35">
        <f t="shared" si="4"/>
        <v>233830.42955999999</v>
      </c>
      <c r="D56" s="35">
        <f>D57</f>
        <v>0</v>
      </c>
      <c r="E56" s="15">
        <f>C56-D56</f>
        <v>233830.42955999999</v>
      </c>
      <c r="F56" s="22">
        <f>'тариф 20-19'!C17</f>
        <v>25981.15884</v>
      </c>
    </row>
    <row r="57" spans="1:7" ht="15.75" x14ac:dyDescent="0.25">
      <c r="A57" s="38" t="s">
        <v>84</v>
      </c>
      <c r="B57" s="35">
        <f>F56</f>
        <v>25981.15884</v>
      </c>
      <c r="C57" s="35">
        <f t="shared" si="4"/>
        <v>233830.42955999999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8225.3518199999999</v>
      </c>
      <c r="C58" s="35">
        <f t="shared" si="4"/>
        <v>74028.166379999995</v>
      </c>
      <c r="D58" s="35">
        <f>D59</f>
        <v>0</v>
      </c>
      <c r="E58" s="15">
        <f t="shared" si="1"/>
        <v>74028.166379999995</v>
      </c>
      <c r="F58" s="22">
        <f>'тариф 20-19'!C18+'тариф 20-19'!C19</f>
        <v>8225.3518199999999</v>
      </c>
    </row>
    <row r="59" spans="1:7" ht="18.75" customHeight="1" x14ac:dyDescent="0.25">
      <c r="A59" s="38" t="s">
        <v>151</v>
      </c>
      <c r="B59" s="35">
        <f>F58</f>
        <v>8225.3518199999999</v>
      </c>
      <c r="C59" s="35">
        <f t="shared" si="4"/>
        <v>74028.166379999995</v>
      </c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4"/>
        <v>0</v>
      </c>
      <c r="D60" s="35"/>
      <c r="E60" s="15">
        <f t="shared" si="1"/>
        <v>0</v>
      </c>
      <c r="F60" s="22"/>
    </row>
    <row r="61" spans="1:7" ht="31.5" hidden="1" x14ac:dyDescent="0.25">
      <c r="A61" s="38" t="s">
        <v>41</v>
      </c>
      <c r="B61" s="35"/>
      <c r="C61" s="35">
        <f t="shared" si="4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</v>
      </c>
      <c r="B62" s="35">
        <f>B63</f>
        <v>2342.9882400000001</v>
      </c>
      <c r="C62" s="35">
        <f t="shared" si="4"/>
        <v>21086.89416</v>
      </c>
      <c r="D62" s="35">
        <f>D63</f>
        <v>0</v>
      </c>
      <c r="E62" s="15">
        <f t="shared" si="1"/>
        <v>21086.89416</v>
      </c>
      <c r="F62" s="22">
        <f>'тариф 20-19'!C20</f>
        <v>2342.9882400000001</v>
      </c>
    </row>
    <row r="63" spans="1:7" ht="33" customHeight="1" x14ac:dyDescent="0.25">
      <c r="A63" s="39" t="s">
        <v>40</v>
      </c>
      <c r="B63" s="35">
        <f>F62</f>
        <v>2342.9882400000001</v>
      </c>
      <c r="C63" s="35">
        <f t="shared" si="4"/>
        <v>21086.89416</v>
      </c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21596.946239999997</v>
      </c>
      <c r="C64" s="16">
        <f t="shared" ref="C64:D64" si="5">C65+C66+C71+C72+C77+C79</f>
        <v>194372.51616</v>
      </c>
      <c r="D64" s="16">
        <f t="shared" si="5"/>
        <v>0</v>
      </c>
      <c r="E64" s="15">
        <f t="shared" si="1"/>
        <v>194372.51616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>B65*9</f>
        <v>0</v>
      </c>
      <c r="D65" s="35">
        <v>0</v>
      </c>
      <c r="E65" s="15">
        <f t="shared" si="1"/>
        <v>0</v>
      </c>
      <c r="F65" s="22"/>
    </row>
    <row r="66" spans="1:7" ht="31.5" customHeight="1" x14ac:dyDescent="0.25">
      <c r="A66" s="31" t="s">
        <v>19</v>
      </c>
      <c r="B66" s="35">
        <f>SUM(B67:B70)</f>
        <v>6656.5860599999996</v>
      </c>
      <c r="C66" s="35">
        <f t="shared" ref="C66:C84" si="6">B66*9</f>
        <v>59909.274539999999</v>
      </c>
      <c r="D66" s="35">
        <f>SUM(D67:D70)</f>
        <v>0</v>
      </c>
      <c r="E66" s="15">
        <f t="shared" si="1"/>
        <v>59909.274539999999</v>
      </c>
      <c r="F66" s="22">
        <f>'тариф 20-19'!C23</f>
        <v>6656.5860599999996</v>
      </c>
      <c r="G66" s="107" t="s">
        <v>145</v>
      </c>
    </row>
    <row r="67" spans="1:7" ht="15.75" x14ac:dyDescent="0.25">
      <c r="A67" s="37" t="s">
        <v>147</v>
      </c>
      <c r="B67" s="35">
        <f>F67</f>
        <v>4961.9918857142857</v>
      </c>
      <c r="C67" s="35">
        <f t="shared" si="6"/>
        <v>44657.926971428569</v>
      </c>
      <c r="D67" s="35"/>
      <c r="E67" s="15"/>
      <c r="F67" s="22">
        <f>G69</f>
        <v>4961.9918857142857</v>
      </c>
      <c r="G67" s="1">
        <v>12822</v>
      </c>
    </row>
    <row r="68" spans="1:7" ht="15.75" x14ac:dyDescent="0.25">
      <c r="A68" s="37" t="s">
        <v>37</v>
      </c>
      <c r="B68" s="35">
        <f t="shared" ref="B68:B69" si="7">F68</f>
        <v>1498.5215494857143</v>
      </c>
      <c r="C68" s="35">
        <f t="shared" si="6"/>
        <v>13486.693945371429</v>
      </c>
      <c r="D68" s="35"/>
      <c r="E68" s="15"/>
      <c r="F68" s="22">
        <f>F67*0.302</f>
        <v>1498.5215494857143</v>
      </c>
      <c r="G68" s="105">
        <f>'ТХ МКД'!B30/5250</f>
        <v>0.38699047619047622</v>
      </c>
    </row>
    <row r="69" spans="1:7" ht="15.75" x14ac:dyDescent="0.25">
      <c r="A69" s="37" t="s">
        <v>38</v>
      </c>
      <c r="B69" s="35">
        <f t="shared" si="7"/>
        <v>196.07262479999963</v>
      </c>
      <c r="C69" s="35">
        <f t="shared" si="6"/>
        <v>1764.6536231999967</v>
      </c>
      <c r="D69" s="35"/>
      <c r="E69" s="15"/>
      <c r="F69" s="22">
        <f>F66-F67-F68</f>
        <v>196.07262479999963</v>
      </c>
      <c r="G69" s="101">
        <f>G67*G68</f>
        <v>4961.9918857142857</v>
      </c>
    </row>
    <row r="70" spans="1:7" ht="15.75" x14ac:dyDescent="0.25">
      <c r="A70" s="37" t="s">
        <v>0</v>
      </c>
      <c r="B70" s="35"/>
      <c r="C70" s="35">
        <f t="shared" si="6"/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6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6663.1903200000006</v>
      </c>
      <c r="C72" s="35">
        <f t="shared" si="6"/>
        <v>59968.712880000006</v>
      </c>
      <c r="D72" s="35">
        <f>SUM(D73:D76)</f>
        <v>0</v>
      </c>
      <c r="E72" s="15">
        <f t="shared" si="1"/>
        <v>59968.712880000006</v>
      </c>
      <c r="F72" s="22">
        <f>'тариф 20-19'!C25</f>
        <v>6663.1903200000006</v>
      </c>
      <c r="G72" s="1" t="s">
        <v>146</v>
      </c>
    </row>
    <row r="73" spans="1:7" ht="31.5" x14ac:dyDescent="0.25">
      <c r="A73" s="37" t="s">
        <v>148</v>
      </c>
      <c r="B73" s="35">
        <f>F73</f>
        <v>4705.7171717171714</v>
      </c>
      <c r="C73" s="35">
        <f t="shared" si="6"/>
        <v>42351.454545454544</v>
      </c>
      <c r="D73" s="35"/>
      <c r="E73" s="15"/>
      <c r="F73" s="22">
        <f>G75/1.1</f>
        <v>4705.7171717171714</v>
      </c>
      <c r="G73" s="1">
        <v>12822</v>
      </c>
    </row>
    <row r="74" spans="1:7" ht="15.75" x14ac:dyDescent="0.25">
      <c r="A74" s="37" t="s">
        <v>37</v>
      </c>
      <c r="B74" s="35">
        <f>B73*0.302</f>
        <v>1421.1265858585857</v>
      </c>
      <c r="C74" s="35">
        <f t="shared" si="6"/>
        <v>12790.139272727272</v>
      </c>
      <c r="D74" s="35"/>
      <c r="E74" s="15"/>
      <c r="F74" s="22">
        <f>F73*0.302</f>
        <v>1421.1265858585857</v>
      </c>
      <c r="G74" s="84">
        <f>'ТХ МКД'!B18/540</f>
        <v>0.40370370370370373</v>
      </c>
    </row>
    <row r="75" spans="1:7" ht="15.75" x14ac:dyDescent="0.25">
      <c r="A75" s="37" t="s">
        <v>38</v>
      </c>
      <c r="B75" s="35">
        <f>F75</f>
        <v>536.34656242424353</v>
      </c>
      <c r="C75" s="35">
        <f t="shared" si="6"/>
        <v>4827.1190618181918</v>
      </c>
      <c r="D75" s="35"/>
      <c r="E75" s="15"/>
      <c r="F75" s="22">
        <f>F72-F73-F74</f>
        <v>536.34656242424353</v>
      </c>
      <c r="G75" s="101">
        <f>G73*G74</f>
        <v>5176.2888888888892</v>
      </c>
    </row>
    <row r="76" spans="1:7" ht="15.75" x14ac:dyDescent="0.25">
      <c r="A76" s="37" t="s">
        <v>0</v>
      </c>
      <c r="B76" s="35"/>
      <c r="C76" s="35">
        <f t="shared" si="6"/>
        <v>0</v>
      </c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1876.6258800000001</v>
      </c>
      <c r="C77" s="35">
        <f t="shared" si="6"/>
        <v>16889.63292</v>
      </c>
      <c r="D77" s="35">
        <f>D78</f>
        <v>0</v>
      </c>
      <c r="E77" s="15">
        <f t="shared" ref="E77:E117" si="8">C77-D77</f>
        <v>16889.63292</v>
      </c>
      <c r="F77" s="22">
        <f>'тариф 20-19'!C26</f>
        <v>1876.6258800000001</v>
      </c>
    </row>
    <row r="78" spans="1:7" ht="33" customHeight="1" x14ac:dyDescent="0.25">
      <c r="A78" s="38" t="s">
        <v>40</v>
      </c>
      <c r="B78" s="35">
        <f>F77</f>
        <v>1876.6258800000001</v>
      </c>
      <c r="C78" s="35">
        <f t="shared" si="6"/>
        <v>16889.63292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6400.5439799999995</v>
      </c>
      <c r="C79" s="35">
        <f t="shared" si="6"/>
        <v>57604.895819999998</v>
      </c>
      <c r="D79" s="35">
        <f>SUM(D80:D83)</f>
        <v>0</v>
      </c>
      <c r="E79" s="15">
        <f t="shared" si="8"/>
        <v>57604.895819999998</v>
      </c>
      <c r="F79" s="22">
        <f>'тариф 20-19'!C27</f>
        <v>6400.5439799999995</v>
      </c>
    </row>
    <row r="80" spans="1:7" ht="15.75" x14ac:dyDescent="0.25">
      <c r="A80" s="37" t="s">
        <v>36</v>
      </c>
      <c r="B80" s="35"/>
      <c r="C80" s="35">
        <f t="shared" si="6"/>
        <v>0</v>
      </c>
      <c r="D80" s="35"/>
      <c r="E80" s="15"/>
      <c r="F80" s="22"/>
    </row>
    <row r="81" spans="1:6" ht="15.75" x14ac:dyDescent="0.25">
      <c r="A81" s="37" t="s">
        <v>37</v>
      </c>
      <c r="B81" s="35"/>
      <c r="C81" s="35">
        <f t="shared" si="6"/>
        <v>0</v>
      </c>
      <c r="D81" s="35"/>
      <c r="E81" s="15"/>
      <c r="F81" s="22"/>
    </row>
    <row r="82" spans="1:6" ht="15.75" x14ac:dyDescent="0.25">
      <c r="A82" s="37" t="s">
        <v>38</v>
      </c>
      <c r="B82" s="35"/>
      <c r="C82" s="35">
        <f t="shared" si="6"/>
        <v>0</v>
      </c>
      <c r="D82" s="35"/>
      <c r="E82" s="15"/>
      <c r="F82" s="22"/>
    </row>
    <row r="83" spans="1:6" ht="15.75" x14ac:dyDescent="0.25">
      <c r="A83" s="37" t="s">
        <v>0</v>
      </c>
      <c r="B83" s="35"/>
      <c r="C83" s="35">
        <f t="shared" si="6"/>
        <v>0</v>
      </c>
      <c r="D83" s="35"/>
      <c r="E83" s="15"/>
      <c r="F83" s="22"/>
    </row>
    <row r="84" spans="1:6" ht="15.75" x14ac:dyDescent="0.25">
      <c r="A84" s="29" t="s">
        <v>24</v>
      </c>
      <c r="B84" s="15">
        <f>F84</f>
        <v>6400.5439799999995</v>
      </c>
      <c r="C84" s="35">
        <f t="shared" si="6"/>
        <v>57604.895819999998</v>
      </c>
      <c r="D84" s="15"/>
      <c r="E84" s="15">
        <f t="shared" si="8"/>
        <v>57604.895819999998</v>
      </c>
      <c r="F84" s="22">
        <f>'тариф 20-19'!C27</f>
        <v>6400.5439799999995</v>
      </c>
    </row>
    <row r="85" spans="1:6" ht="15.75" x14ac:dyDescent="0.25">
      <c r="A85" s="29" t="s">
        <v>25</v>
      </c>
      <c r="B85" s="15">
        <f>F85</f>
        <v>16780.916639999999</v>
      </c>
      <c r="C85" s="15">
        <f>B85*9</f>
        <v>151028.24976000001</v>
      </c>
      <c r="D85" s="15">
        <f>D86+D97</f>
        <v>0</v>
      </c>
      <c r="E85" s="15">
        <f t="shared" si="8"/>
        <v>151028.24976000001</v>
      </c>
      <c r="F85" s="131">
        <f>'тариф 20-19'!C29</f>
        <v>16780.916639999999</v>
      </c>
    </row>
    <row r="86" spans="1:6" ht="17.25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x14ac:dyDescent="0.25">
      <c r="A87" s="70" t="s">
        <v>85</v>
      </c>
      <c r="B87" s="15"/>
      <c r="C87" s="35"/>
      <c r="D87" s="35">
        <f>F87*$D$118*6</f>
        <v>0</v>
      </c>
      <c r="E87" s="15"/>
      <c r="F87" s="50"/>
    </row>
    <row r="88" spans="1:6" ht="15.75" x14ac:dyDescent="0.25">
      <c r="A88" s="70" t="s">
        <v>37</v>
      </c>
      <c r="B88" s="15"/>
      <c r="C88" s="35"/>
      <c r="D88" s="35">
        <f>F88*$D$118*6</f>
        <v>0</v>
      </c>
      <c r="E88" s="15"/>
      <c r="F88" s="50"/>
    </row>
    <row r="89" spans="1:6" ht="15.75" x14ac:dyDescent="0.25">
      <c r="A89" s="70" t="s">
        <v>50</v>
      </c>
      <c r="B89" s="15"/>
      <c r="C89" s="35"/>
      <c r="D89" s="35">
        <f t="shared" ref="D89:D96" si="9">F89*$D$118*6</f>
        <v>0</v>
      </c>
      <c r="E89" s="15"/>
      <c r="F89" s="50"/>
    </row>
    <row r="90" spans="1:6" ht="15.75" x14ac:dyDescent="0.25">
      <c r="A90" s="70" t="s">
        <v>51</v>
      </c>
      <c r="B90" s="15"/>
      <c r="C90" s="35"/>
      <c r="D90" s="35">
        <f t="shared" si="9"/>
        <v>0</v>
      </c>
      <c r="E90" s="15"/>
      <c r="F90" s="50"/>
    </row>
    <row r="91" spans="1:6" ht="15.75" x14ac:dyDescent="0.25">
      <c r="A91" s="70" t="s">
        <v>76</v>
      </c>
      <c r="B91" s="15"/>
      <c r="C91" s="35"/>
      <c r="D91" s="35">
        <f t="shared" si="9"/>
        <v>0</v>
      </c>
      <c r="E91" s="15"/>
      <c r="F91" s="50"/>
    </row>
    <row r="92" spans="1:6" ht="15.75" x14ac:dyDescent="0.25">
      <c r="A92" s="70" t="s">
        <v>52</v>
      </c>
      <c r="B92" s="15"/>
      <c r="C92" s="35"/>
      <c r="D92" s="35">
        <f t="shared" si="9"/>
        <v>0</v>
      </c>
      <c r="E92" s="15"/>
      <c r="F92" s="50"/>
    </row>
    <row r="93" spans="1:6" ht="15.75" x14ac:dyDescent="0.25">
      <c r="A93" s="70" t="s">
        <v>77</v>
      </c>
      <c r="B93" s="15"/>
      <c r="C93" s="35"/>
      <c r="D93" s="35">
        <f t="shared" si="9"/>
        <v>0</v>
      </c>
      <c r="E93" s="15"/>
      <c r="F93" s="50"/>
    </row>
    <row r="94" spans="1:6" ht="15.75" x14ac:dyDescent="0.25">
      <c r="A94" s="70" t="s">
        <v>53</v>
      </c>
      <c r="B94" s="15"/>
      <c r="C94" s="35"/>
      <c r="D94" s="35">
        <f t="shared" si="9"/>
        <v>0</v>
      </c>
      <c r="E94" s="15"/>
      <c r="F94" s="50"/>
    </row>
    <row r="95" spans="1:6" ht="15.75" x14ac:dyDescent="0.25">
      <c r="A95" s="70" t="s">
        <v>54</v>
      </c>
      <c r="B95" s="15"/>
      <c r="C95" s="35"/>
      <c r="D95" s="35">
        <f t="shared" si="9"/>
        <v>0</v>
      </c>
      <c r="E95" s="15"/>
      <c r="F95" s="50"/>
    </row>
    <row r="96" spans="1:6" ht="15.75" x14ac:dyDescent="0.25">
      <c r="A96" s="70" t="s">
        <v>0</v>
      </c>
      <c r="B96" s="15"/>
      <c r="C96" s="35"/>
      <c r="D96" s="35">
        <f t="shared" si="9"/>
        <v>0</v>
      </c>
      <c r="E96" s="15"/>
      <c r="F96" s="50"/>
    </row>
    <row r="97" spans="1:6" ht="17.25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x14ac:dyDescent="0.25">
      <c r="A98" s="71" t="s">
        <v>86</v>
      </c>
      <c r="B98" s="15"/>
      <c r="C98" s="35"/>
      <c r="D98" s="35">
        <f>F98*$D$118*6</f>
        <v>0</v>
      </c>
      <c r="E98" s="15"/>
      <c r="F98" s="50"/>
    </row>
    <row r="99" spans="1:6" ht="15.75" x14ac:dyDescent="0.25">
      <c r="A99" s="71" t="s">
        <v>37</v>
      </c>
      <c r="B99" s="15"/>
      <c r="C99" s="35"/>
      <c r="D99" s="35">
        <f>F99*$D$118*6</f>
        <v>0</v>
      </c>
      <c r="E99" s="15"/>
      <c r="F99" s="50"/>
    </row>
    <row r="100" spans="1:6" ht="30" x14ac:dyDescent="0.25">
      <c r="A100" s="71" t="s">
        <v>55</v>
      </c>
      <c r="B100" s="15"/>
      <c r="C100" s="35"/>
      <c r="D100" s="35">
        <f t="shared" ref="D100:D116" si="10">F100*$D$118*6</f>
        <v>0</v>
      </c>
      <c r="E100" s="15"/>
      <c r="F100" s="50"/>
    </row>
    <row r="101" spans="1:6" ht="15.75" x14ac:dyDescent="0.25">
      <c r="A101" s="72" t="s">
        <v>56</v>
      </c>
      <c r="B101" s="15"/>
      <c r="C101" s="35"/>
      <c r="D101" s="35">
        <f t="shared" si="10"/>
        <v>0</v>
      </c>
      <c r="E101" s="15"/>
      <c r="F101" s="50"/>
    </row>
    <row r="102" spans="1:6" ht="15.75" x14ac:dyDescent="0.25">
      <c r="A102" s="72" t="s">
        <v>57</v>
      </c>
      <c r="B102" s="15"/>
      <c r="C102" s="35"/>
      <c r="D102" s="35">
        <f t="shared" si="10"/>
        <v>0</v>
      </c>
      <c r="E102" s="15"/>
      <c r="F102" s="50"/>
    </row>
    <row r="103" spans="1:6" ht="15.75" x14ac:dyDescent="0.25">
      <c r="A103" s="72" t="s">
        <v>58</v>
      </c>
      <c r="B103" s="15"/>
      <c r="C103" s="35"/>
      <c r="D103" s="35">
        <f t="shared" si="10"/>
        <v>0</v>
      </c>
      <c r="E103" s="15"/>
      <c r="F103" s="50"/>
    </row>
    <row r="104" spans="1:6" ht="15.75" x14ac:dyDescent="0.25">
      <c r="A104" s="72" t="s">
        <v>59</v>
      </c>
      <c r="B104" s="15"/>
      <c r="C104" s="35"/>
      <c r="D104" s="35">
        <f t="shared" si="10"/>
        <v>0</v>
      </c>
      <c r="E104" s="15"/>
      <c r="F104" s="50"/>
    </row>
    <row r="105" spans="1:6" ht="15.75" x14ac:dyDescent="0.25">
      <c r="A105" s="72" t="s">
        <v>60</v>
      </c>
      <c r="B105" s="15"/>
      <c r="C105" s="35"/>
      <c r="D105" s="35">
        <f t="shared" si="10"/>
        <v>0</v>
      </c>
      <c r="E105" s="15"/>
      <c r="F105" s="50"/>
    </row>
    <row r="106" spans="1:6" ht="15.75" x14ac:dyDescent="0.25">
      <c r="A106" s="72" t="s">
        <v>61</v>
      </c>
      <c r="B106" s="15"/>
      <c r="C106" s="35"/>
      <c r="D106" s="35">
        <f t="shared" si="10"/>
        <v>0</v>
      </c>
      <c r="E106" s="15"/>
      <c r="F106" s="50"/>
    </row>
    <row r="107" spans="1:6" ht="15.75" x14ac:dyDescent="0.25">
      <c r="A107" s="72" t="s">
        <v>62</v>
      </c>
      <c r="B107" s="15"/>
      <c r="C107" s="35"/>
      <c r="D107" s="35">
        <f t="shared" si="10"/>
        <v>0</v>
      </c>
      <c r="E107" s="15"/>
      <c r="F107" s="50"/>
    </row>
    <row r="108" spans="1:6" ht="15.75" x14ac:dyDescent="0.25">
      <c r="A108" s="73" t="s">
        <v>63</v>
      </c>
      <c r="B108" s="15"/>
      <c r="C108" s="35"/>
      <c r="D108" s="35">
        <f t="shared" si="10"/>
        <v>0</v>
      </c>
      <c r="E108" s="15"/>
      <c r="F108" s="50"/>
    </row>
    <row r="109" spans="1:6" ht="15.75" x14ac:dyDescent="0.25">
      <c r="A109" s="72" t="s">
        <v>64</v>
      </c>
      <c r="B109" s="15"/>
      <c r="C109" s="35"/>
      <c r="D109" s="35">
        <f t="shared" si="10"/>
        <v>0</v>
      </c>
      <c r="E109" s="15"/>
      <c r="F109" s="50"/>
    </row>
    <row r="110" spans="1:6" ht="15.75" x14ac:dyDescent="0.25">
      <c r="A110" s="72" t="s">
        <v>65</v>
      </c>
      <c r="B110" s="15"/>
      <c r="C110" s="35"/>
      <c r="D110" s="35">
        <f t="shared" si="10"/>
        <v>0</v>
      </c>
      <c r="E110" s="15"/>
      <c r="F110" s="50"/>
    </row>
    <row r="111" spans="1:6" ht="15.75" x14ac:dyDescent="0.25">
      <c r="A111" s="72" t="s">
        <v>78</v>
      </c>
      <c r="B111" s="15"/>
      <c r="C111" s="35"/>
      <c r="D111" s="35">
        <f t="shared" si="10"/>
        <v>0</v>
      </c>
      <c r="E111" s="15"/>
      <c r="F111" s="50"/>
    </row>
    <row r="112" spans="1:6" ht="15.75" x14ac:dyDescent="0.25">
      <c r="A112" s="73" t="s">
        <v>66</v>
      </c>
      <c r="B112" s="15"/>
      <c r="C112" s="35"/>
      <c r="D112" s="35">
        <f t="shared" si="10"/>
        <v>0</v>
      </c>
      <c r="E112" s="15"/>
      <c r="F112" s="50"/>
    </row>
    <row r="113" spans="1:7" ht="15.75" x14ac:dyDescent="0.25">
      <c r="A113" s="72" t="s">
        <v>67</v>
      </c>
      <c r="B113" s="15"/>
      <c r="C113" s="35"/>
      <c r="D113" s="35">
        <f t="shared" si="10"/>
        <v>0</v>
      </c>
      <c r="E113" s="15"/>
      <c r="F113" s="50"/>
    </row>
    <row r="114" spans="1:7" ht="25.5" x14ac:dyDescent="0.25">
      <c r="A114" s="72" t="s">
        <v>79</v>
      </c>
      <c r="B114" s="15"/>
      <c r="C114" s="35"/>
      <c r="D114" s="35">
        <f t="shared" si="10"/>
        <v>0</v>
      </c>
      <c r="E114" s="15"/>
      <c r="F114" s="50"/>
    </row>
    <row r="115" spans="1:7" ht="15.75" x14ac:dyDescent="0.25">
      <c r="A115" s="73" t="s">
        <v>68</v>
      </c>
      <c r="B115" s="15"/>
      <c r="C115" s="35"/>
      <c r="D115" s="35">
        <f t="shared" si="10"/>
        <v>0</v>
      </c>
      <c r="E115" s="15"/>
      <c r="F115" s="50"/>
    </row>
    <row r="116" spans="1:7" ht="16.5" customHeight="1" x14ac:dyDescent="0.25">
      <c r="A116" s="73" t="s">
        <v>69</v>
      </c>
      <c r="B116" s="15"/>
      <c r="C116" s="35"/>
      <c r="D116" s="35">
        <f t="shared" si="10"/>
        <v>0</v>
      </c>
      <c r="E116" s="15"/>
      <c r="F116" s="50"/>
    </row>
    <row r="117" spans="1:7" ht="18" customHeight="1" x14ac:dyDescent="0.25">
      <c r="A117" s="33" t="s">
        <v>35</v>
      </c>
      <c r="B117" s="17">
        <f>B85+B84+B64+B35+B9</f>
        <v>91364.34887999999</v>
      </c>
      <c r="C117" s="17">
        <f>C85+C84+C64+C35+C9</f>
        <v>822279.1399200001</v>
      </c>
      <c r="D117" s="17">
        <f>D85+D84+D64+D35+D9</f>
        <v>0</v>
      </c>
      <c r="E117" s="15">
        <f t="shared" si="8"/>
        <v>822279.1399200001</v>
      </c>
      <c r="F117" s="52"/>
      <c r="G117" s="17">
        <v>30151.506310000001</v>
      </c>
    </row>
    <row r="118" spans="1:7" ht="16.5" customHeight="1" x14ac:dyDescent="0.25">
      <c r="A118" s="29" t="s">
        <v>27</v>
      </c>
      <c r="B118" s="28">
        <f>'тариф 20-19'!B31</f>
        <v>5080.2</v>
      </c>
      <c r="C118" s="28">
        <f>'тариф 20-19'!B31</f>
        <v>5080.2</v>
      </c>
      <c r="D118" s="28">
        <f>'тариф 20-19'!B31</f>
        <v>5080.2</v>
      </c>
      <c r="E118" s="54"/>
      <c r="F118" s="14"/>
    </row>
    <row r="119" spans="1:7" ht="15.75" x14ac:dyDescent="0.25">
      <c r="A119" s="40" t="s">
        <v>39</v>
      </c>
      <c r="B119" s="41">
        <f>B117/B118</f>
        <v>17.984399999999997</v>
      </c>
      <c r="C119" s="41">
        <f>C117/C118/9</f>
        <v>17.984400000000004</v>
      </c>
      <c r="D119" s="41">
        <f>D117/D118/6</f>
        <v>0</v>
      </c>
      <c r="E119" s="43"/>
      <c r="F119" s="19"/>
    </row>
    <row r="120" spans="1:7" ht="15.75" x14ac:dyDescent="0.25">
      <c r="A120" s="42"/>
      <c r="B120" s="49"/>
      <c r="C120" s="49"/>
      <c r="D120" s="49"/>
      <c r="E120" s="49"/>
      <c r="F120" s="19"/>
    </row>
    <row r="121" spans="1:7" ht="15.75" hidden="1" x14ac:dyDescent="0.25">
      <c r="A121" s="42"/>
      <c r="B121" s="49"/>
      <c r="C121" s="49"/>
      <c r="D121" s="49"/>
      <c r="E121" s="49"/>
      <c r="F121" s="19"/>
    </row>
    <row r="122" spans="1:7" ht="18.75" hidden="1" x14ac:dyDescent="0.3">
      <c r="A122" s="45" t="s">
        <v>48</v>
      </c>
      <c r="B122" s="1" t="s">
        <v>32</v>
      </c>
      <c r="C122" s="46"/>
      <c r="D122" s="46"/>
      <c r="E122" s="46"/>
      <c r="F122" s="1"/>
    </row>
    <row r="123" spans="1:7" ht="15.75" x14ac:dyDescent="0.25">
      <c r="A123" s="30"/>
      <c r="B123" s="48"/>
      <c r="C123" s="48"/>
      <c r="D123" s="48"/>
      <c r="E123" s="48"/>
    </row>
    <row r="124" spans="1:7" ht="15.75" x14ac:dyDescent="0.25">
      <c r="A124" s="13" t="s">
        <v>31</v>
      </c>
      <c r="B124" s="44" t="s">
        <v>46</v>
      </c>
      <c r="D124" s="44" t="s">
        <v>33</v>
      </c>
      <c r="E124" s="44"/>
    </row>
    <row r="125" spans="1:7" ht="15.75" x14ac:dyDescent="0.25">
      <c r="A125" s="30"/>
      <c r="B125" s="48"/>
      <c r="C125" s="48"/>
      <c r="D125" s="48"/>
      <c r="E125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zoomScaleNormal="100" workbookViewId="0">
      <selection activeCell="F11" sqref="F11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2.855468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68" t="s">
        <v>47</v>
      </c>
      <c r="B1" s="48"/>
      <c r="C1" s="48"/>
      <c r="D1" s="48"/>
      <c r="E1" s="48"/>
    </row>
    <row r="2" spans="1:10" ht="26.25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46" t="s">
        <v>150</v>
      </c>
      <c r="B3" s="146"/>
      <c r="C3" s="146"/>
      <c r="D3" s="146"/>
      <c r="E3" s="146"/>
      <c r="F3" s="20"/>
    </row>
    <row r="4" spans="1:10" ht="22.5" customHeight="1" x14ac:dyDescent="0.25">
      <c r="A4" s="57" t="s">
        <v>1</v>
      </c>
      <c r="B4" s="147" t="str">
        <f>'тариф 20-19'!B2</f>
        <v>Тимирязева, 27 /2/3/4/5/6</v>
      </c>
      <c r="C4" s="148"/>
      <c r="D4" s="148"/>
      <c r="E4" s="149"/>
      <c r="F4" s="25"/>
    </row>
    <row r="5" spans="1:10" ht="20.25" customHeight="1" x14ac:dyDescent="0.25">
      <c r="A5" s="150" t="s">
        <v>30</v>
      </c>
      <c r="B5" s="153" t="s">
        <v>44</v>
      </c>
      <c r="C5" s="154"/>
      <c r="D5" s="51" t="s">
        <v>45</v>
      </c>
      <c r="E5" s="51" t="s">
        <v>72</v>
      </c>
    </row>
    <row r="6" spans="1:10" ht="18" customHeight="1" x14ac:dyDescent="0.25">
      <c r="A6" s="151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52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2974.9651199999994</v>
      </c>
      <c r="C9" s="15">
        <f>C10+C15+C20+C25+C30</f>
        <v>35699.581440000002</v>
      </c>
      <c r="D9" s="15">
        <f t="shared" ref="D9" si="0">D10+D15+D20+D25+D30</f>
        <v>0</v>
      </c>
      <c r="E9" s="15">
        <f>C9-D9</f>
        <v>35699.581440000002</v>
      </c>
      <c r="F9" s="23">
        <f>'тариф 20-19'!C5</f>
        <v>2974.9651199999994</v>
      </c>
      <c r="G9" s="106">
        <v>0</v>
      </c>
    </row>
    <row r="10" spans="1:10" ht="63.75" customHeight="1" x14ac:dyDescent="0.25">
      <c r="A10" s="31" t="s">
        <v>3</v>
      </c>
      <c r="B10" s="35">
        <f>F10</f>
        <v>247.91376</v>
      </c>
      <c r="C10" s="35">
        <f>B10*12</f>
        <v>2974.9651199999998</v>
      </c>
      <c r="D10" s="35">
        <f>SUM(D11:D14)</f>
        <v>0</v>
      </c>
      <c r="E10" s="15">
        <f t="shared" ref="E10:E72" si="1">C10-D10</f>
        <v>2974.9651199999998</v>
      </c>
      <c r="F10" s="22">
        <f>'тариф 20-19'!C6</f>
        <v>247.91376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>
        <f t="shared" ref="C11:C74" si="2">B11*12</f>
        <v>0</v>
      </c>
      <c r="D11" s="35">
        <v>0</v>
      </c>
      <c r="E11" s="15"/>
      <c r="F11" s="109">
        <f>(G14+H14)/1.2</f>
        <v>179.88813050032795</v>
      </c>
      <c r="G11" s="18">
        <v>19379</v>
      </c>
      <c r="H11" s="1">
        <v>21085</v>
      </c>
      <c r="J11" s="18"/>
    </row>
    <row r="12" spans="1:10" ht="14.25" customHeight="1" x14ac:dyDescent="0.25">
      <c r="A12" s="36" t="s">
        <v>37</v>
      </c>
      <c r="B12" s="35"/>
      <c r="C12" s="35">
        <f t="shared" si="2"/>
        <v>0</v>
      </c>
      <c r="D12" s="35">
        <v>0</v>
      </c>
      <c r="E12" s="15"/>
      <c r="F12" s="109">
        <f>F11*0.302</f>
        <v>54.326215411099035</v>
      </c>
      <c r="G12" s="84">
        <f>('ТХ МКД'!B7+'ТХ МКД'!B28*0.5)*0.0111/1000</f>
        <v>6.1972410000000006E-2</v>
      </c>
      <c r="H12" s="84">
        <f>('ТХ МКД'!B7+'ТХ МКД'!B28*0.5)*0.00539/1000</f>
        <v>3.0092909000000001E-2</v>
      </c>
      <c r="I12" s="100"/>
    </row>
    <row r="13" spans="1:10" ht="14.25" customHeight="1" x14ac:dyDescent="0.25">
      <c r="A13" s="36" t="s">
        <v>38</v>
      </c>
      <c r="B13" s="35"/>
      <c r="C13" s="35">
        <f t="shared" si="2"/>
        <v>0</v>
      </c>
      <c r="D13" s="35">
        <v>0</v>
      </c>
      <c r="E13" s="15"/>
      <c r="F13" s="109">
        <f>F10-F11-F12</f>
        <v>13.699414088573015</v>
      </c>
      <c r="G13" s="84">
        <f>G12*0.109</f>
        <v>6.7549926900000003E-3</v>
      </c>
      <c r="H13" s="84">
        <f>H12*0.1339</f>
        <v>4.0294405150999996E-3</v>
      </c>
    </row>
    <row r="14" spans="1:10" ht="14.25" customHeight="1" x14ac:dyDescent="0.25">
      <c r="A14" s="36" t="s">
        <v>0</v>
      </c>
      <c r="B14" s="35"/>
      <c r="C14" s="35">
        <f t="shared" si="2"/>
        <v>0</v>
      </c>
      <c r="D14" s="35">
        <v>0</v>
      </c>
      <c r="E14" s="15"/>
      <c r="F14" s="22"/>
      <c r="G14" s="101">
        <f>G11*G13</f>
        <v>130.90500333951002</v>
      </c>
      <c r="H14" s="101">
        <f>H11*H13</f>
        <v>84.960753260883493</v>
      </c>
    </row>
    <row r="15" spans="1:10" ht="33.75" customHeight="1" x14ac:dyDescent="0.25">
      <c r="A15" s="31" t="s">
        <v>4</v>
      </c>
      <c r="B15" s="35">
        <f>F15</f>
        <v>1208.5795799999999</v>
      </c>
      <c r="C15" s="35">
        <f t="shared" si="2"/>
        <v>14502.954959999999</v>
      </c>
      <c r="D15" s="35">
        <f>SUM(D16:D19)</f>
        <v>0</v>
      </c>
      <c r="E15" s="15">
        <f t="shared" si="1"/>
        <v>14502.954959999999</v>
      </c>
      <c r="F15" s="22">
        <f>'тариф 20-19'!C7</f>
        <v>1208.5795799999999</v>
      </c>
      <c r="G15" s="107" t="s">
        <v>135</v>
      </c>
      <c r="H15" s="107" t="s">
        <v>136</v>
      </c>
      <c r="I15" s="107" t="s">
        <v>137</v>
      </c>
    </row>
    <row r="16" spans="1:10" ht="15.75" customHeight="1" x14ac:dyDescent="0.25">
      <c r="A16" s="38" t="s">
        <v>36</v>
      </c>
      <c r="B16" s="35"/>
      <c r="C16" s="35">
        <f t="shared" si="2"/>
        <v>0</v>
      </c>
      <c r="D16" s="35">
        <v>0</v>
      </c>
      <c r="E16" s="15"/>
      <c r="F16" s="22">
        <f>G19+H19</f>
        <v>770.85042578275056</v>
      </c>
      <c r="G16" s="1">
        <v>21085</v>
      </c>
      <c r="H16" s="1">
        <v>19379</v>
      </c>
      <c r="I16" s="1">
        <v>16576</v>
      </c>
    </row>
    <row r="17" spans="1:9" ht="17.25" customHeight="1" x14ac:dyDescent="0.25">
      <c r="A17" s="37" t="s">
        <v>37</v>
      </c>
      <c r="B17" s="35"/>
      <c r="C17" s="35">
        <f t="shared" si="2"/>
        <v>0</v>
      </c>
      <c r="D17" s="35">
        <v>0</v>
      </c>
      <c r="E17" s="15"/>
      <c r="F17" s="22">
        <f>F16*0.302</f>
        <v>232.79682858639066</v>
      </c>
      <c r="G17" s="84">
        <f>('ТХ МКД'!B7+'ТХ МКД'!B28*0.5)*0.0018/1000</f>
        <v>1.0049580000000001E-2</v>
      </c>
      <c r="H17" s="84">
        <f>('ТХ МКД'!B7+'ТХ МКД'!B28*0.5)*0.02295/1000</f>
        <v>0.128132145</v>
      </c>
      <c r="I17" s="84">
        <f>('ТХ МКД'!B7+'ТХ МКД'!B28*0.5)*0.02295/1000</f>
        <v>0.128132145</v>
      </c>
    </row>
    <row r="18" spans="1:9" ht="17.25" customHeight="1" x14ac:dyDescent="0.25">
      <c r="A18" s="37" t="s">
        <v>38</v>
      </c>
      <c r="B18" s="35"/>
      <c r="C18" s="35">
        <f t="shared" si="2"/>
        <v>0</v>
      </c>
      <c r="D18" s="35">
        <v>0</v>
      </c>
      <c r="E18" s="15"/>
      <c r="F18" s="22">
        <f>F15-F16-F17</f>
        <v>204.93232563085863</v>
      </c>
      <c r="G18" s="84">
        <f>G17*0.5079</f>
        <v>5.1041816820000009E-3</v>
      </c>
      <c r="H18" s="84">
        <f>H17*0.2671</f>
        <v>3.4224095929500001E-2</v>
      </c>
      <c r="I18" s="18"/>
    </row>
    <row r="19" spans="1:9" ht="17.25" customHeight="1" x14ac:dyDescent="0.25">
      <c r="A19" s="37" t="s">
        <v>0</v>
      </c>
      <c r="B19" s="35"/>
      <c r="C19" s="35">
        <f t="shared" si="2"/>
        <v>0</v>
      </c>
      <c r="D19" s="35">
        <v>0</v>
      </c>
      <c r="E19" s="15"/>
      <c r="F19" s="22"/>
      <c r="G19" s="101">
        <f>G16*G18</f>
        <v>107.62167076497002</v>
      </c>
      <c r="H19" s="101">
        <f>H16*H18</f>
        <v>663.22875501778049</v>
      </c>
      <c r="I19" s="102">
        <f>I18/2</f>
        <v>0</v>
      </c>
    </row>
    <row r="20" spans="1:9" ht="63.75" customHeight="1" x14ac:dyDescent="0.25">
      <c r="A20" s="31" t="s">
        <v>5</v>
      </c>
      <c r="B20" s="35">
        <f>F20</f>
        <v>115.82856</v>
      </c>
      <c r="C20" s="35">
        <f t="shared" si="2"/>
        <v>1389.94272</v>
      </c>
      <c r="D20" s="35">
        <f>SUM(D21:D24)</f>
        <v>0</v>
      </c>
      <c r="E20" s="15">
        <f t="shared" si="1"/>
        <v>1389.94272</v>
      </c>
      <c r="F20" s="22">
        <f>'тариф 20-19'!C8</f>
        <v>115.82856</v>
      </c>
      <c r="G20" s="107" t="s">
        <v>138</v>
      </c>
    </row>
    <row r="21" spans="1:9" ht="15.75" x14ac:dyDescent="0.25">
      <c r="A21" s="37" t="s">
        <v>36</v>
      </c>
      <c r="B21" s="35"/>
      <c r="C21" s="35">
        <f t="shared" si="2"/>
        <v>0</v>
      </c>
      <c r="D21" s="35">
        <v>0</v>
      </c>
      <c r="E21" s="15"/>
      <c r="F21" s="109">
        <f>G24/1.5</f>
        <v>76.349242314713607</v>
      </c>
      <c r="G21" s="1">
        <v>19379</v>
      </c>
    </row>
    <row r="22" spans="1:9" ht="15.75" x14ac:dyDescent="0.25">
      <c r="A22" s="37" t="s">
        <v>37</v>
      </c>
      <c r="B22" s="35"/>
      <c r="C22" s="35">
        <f t="shared" si="2"/>
        <v>0</v>
      </c>
      <c r="D22" s="35">
        <v>0</v>
      </c>
      <c r="E22" s="15"/>
      <c r="F22" s="109">
        <f>F21*0.302</f>
        <v>23.057471179043507</v>
      </c>
      <c r="G22" s="84">
        <f>('ТХ МКД'!B7+'ТХ МКД'!B28*0.5)*0.00888/1000</f>
        <v>4.9577928000000007E-2</v>
      </c>
    </row>
    <row r="23" spans="1:9" ht="15.75" x14ac:dyDescent="0.25">
      <c r="A23" s="37" t="s">
        <v>38</v>
      </c>
      <c r="B23" s="35"/>
      <c r="C23" s="35">
        <f t="shared" si="2"/>
        <v>0</v>
      </c>
      <c r="D23" s="35">
        <v>0</v>
      </c>
      <c r="E23" s="15"/>
      <c r="F23" s="109">
        <f>F20-F21-F22</f>
        <v>16.421846506242883</v>
      </c>
      <c r="G23" s="84">
        <f>G22*0.1192</f>
        <v>5.9096890176000005E-3</v>
      </c>
      <c r="H23" s="2"/>
    </row>
    <row r="24" spans="1:9" ht="15.75" x14ac:dyDescent="0.25">
      <c r="A24" s="37" t="s">
        <v>0</v>
      </c>
      <c r="B24" s="35"/>
      <c r="C24" s="35">
        <f t="shared" si="2"/>
        <v>0</v>
      </c>
      <c r="D24" s="35">
        <v>0</v>
      </c>
      <c r="E24" s="15"/>
      <c r="F24" s="22"/>
      <c r="G24" s="101">
        <f>G21*G23</f>
        <v>114.52386347207042</v>
      </c>
    </row>
    <row r="25" spans="1:9" ht="15.75" x14ac:dyDescent="0.25">
      <c r="A25" s="31" t="s">
        <v>6</v>
      </c>
      <c r="B25" s="35">
        <f>F25</f>
        <v>472.96661999999998</v>
      </c>
      <c r="C25" s="35">
        <f t="shared" si="2"/>
        <v>5675.59944</v>
      </c>
      <c r="D25" s="35">
        <f>SUM(D26:D29)</f>
        <v>0</v>
      </c>
      <c r="E25" s="15">
        <f t="shared" si="1"/>
        <v>5675.59944</v>
      </c>
      <c r="F25" s="22">
        <f>'тариф 20-19'!C9</f>
        <v>472.96661999999998</v>
      </c>
      <c r="G25" s="107" t="s">
        <v>139</v>
      </c>
    </row>
    <row r="26" spans="1:9" ht="15.75" x14ac:dyDescent="0.25">
      <c r="A26" s="37" t="s">
        <v>36</v>
      </c>
      <c r="B26" s="35"/>
      <c r="C26" s="35">
        <f t="shared" si="2"/>
        <v>0</v>
      </c>
      <c r="D26" s="35">
        <v>0</v>
      </c>
      <c r="E26" s="15"/>
      <c r="F26" s="22">
        <f>G28</f>
        <v>340.03349952000002</v>
      </c>
      <c r="G26" s="1">
        <v>12188</v>
      </c>
    </row>
    <row r="27" spans="1:9" ht="15.75" x14ac:dyDescent="0.25">
      <c r="A27" s="37" t="s">
        <v>37</v>
      </c>
      <c r="B27" s="35"/>
      <c r="C27" s="35">
        <f t="shared" si="2"/>
        <v>0</v>
      </c>
      <c r="D27" s="35">
        <v>0</v>
      </c>
      <c r="E27" s="15"/>
      <c r="F27" s="22">
        <f>F26*0.302</f>
        <v>102.69011685504</v>
      </c>
      <c r="G27" s="84">
        <f>'ТХ МКД'!B27*0.0263/1000</f>
        <v>2.789904E-2</v>
      </c>
    </row>
    <row r="28" spans="1:9" ht="15.75" x14ac:dyDescent="0.25">
      <c r="A28" s="37" t="s">
        <v>38</v>
      </c>
      <c r="B28" s="35"/>
      <c r="C28" s="35">
        <f t="shared" si="2"/>
        <v>0</v>
      </c>
      <c r="D28" s="35">
        <v>0</v>
      </c>
      <c r="E28" s="15"/>
      <c r="F28" s="22">
        <f>F25-F26-F27</f>
        <v>30.243003624959954</v>
      </c>
      <c r="G28" s="101">
        <f>G26*G27</f>
        <v>340.03349952000002</v>
      </c>
      <c r="H28" s="2"/>
    </row>
    <row r="29" spans="1:9" ht="15.75" x14ac:dyDescent="0.25">
      <c r="A29" s="37" t="s">
        <v>0</v>
      </c>
      <c r="B29" s="35"/>
      <c r="C29" s="35">
        <f t="shared" si="2"/>
        <v>0</v>
      </c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929.67659999999989</v>
      </c>
      <c r="C30" s="35">
        <f t="shared" si="2"/>
        <v>11156.119199999999</v>
      </c>
      <c r="D30" s="35">
        <f>SUM(D31:D34)</f>
        <v>0</v>
      </c>
      <c r="E30" s="15">
        <f t="shared" si="1"/>
        <v>11156.119199999999</v>
      </c>
      <c r="F30" s="22">
        <f>'тариф 20-19'!C10</f>
        <v>929.67659999999989</v>
      </c>
      <c r="G30" s="107" t="s">
        <v>140</v>
      </c>
    </row>
    <row r="31" spans="1:9" ht="15.75" x14ac:dyDescent="0.25">
      <c r="A31" s="37" t="s">
        <v>36</v>
      </c>
      <c r="B31" s="35"/>
      <c r="C31" s="35">
        <f t="shared" si="2"/>
        <v>0</v>
      </c>
      <c r="D31" s="35"/>
      <c r="E31" s="15"/>
      <c r="F31" s="22">
        <f>G34</f>
        <v>284.00555387220805</v>
      </c>
      <c r="G31" s="1">
        <v>19379</v>
      </c>
    </row>
    <row r="32" spans="1:9" ht="15.75" x14ac:dyDescent="0.25">
      <c r="A32" s="37" t="s">
        <v>37</v>
      </c>
      <c r="B32" s="35"/>
      <c r="C32" s="35">
        <f t="shared" si="2"/>
        <v>0</v>
      </c>
      <c r="D32" s="35"/>
      <c r="E32" s="15"/>
      <c r="F32" s="22">
        <f>F31*0.302</f>
        <v>85.769677269406827</v>
      </c>
      <c r="G32" s="84">
        <f>'ТХ МКД'!B21/1000*0.0763</f>
        <v>9.4795120000000024E-2</v>
      </c>
    </row>
    <row r="33" spans="1:8" ht="15.75" customHeight="1" x14ac:dyDescent="0.25">
      <c r="A33" s="37" t="s">
        <v>83</v>
      </c>
      <c r="B33" s="35"/>
      <c r="C33" s="35">
        <f t="shared" si="2"/>
        <v>0</v>
      </c>
      <c r="D33" s="35"/>
      <c r="E33" s="15"/>
      <c r="F33" s="22">
        <f>F30-F31-F32</f>
        <v>559.90136885838501</v>
      </c>
      <c r="G33" s="84">
        <f>G32*0.1546</f>
        <v>1.4655325552000003E-2</v>
      </c>
      <c r="H33" s="2"/>
    </row>
    <row r="34" spans="1:8" ht="15.75" x14ac:dyDescent="0.25">
      <c r="A34" s="37" t="s">
        <v>0</v>
      </c>
      <c r="B34" s="35"/>
      <c r="C34" s="35">
        <f t="shared" si="2"/>
        <v>0</v>
      </c>
      <c r="D34" s="35"/>
      <c r="E34" s="15"/>
      <c r="F34" s="22"/>
      <c r="G34" s="101">
        <f>G31*G33</f>
        <v>284.00555387220805</v>
      </c>
    </row>
    <row r="35" spans="1:8" ht="31.5" x14ac:dyDescent="0.25">
      <c r="A35" s="29" t="s">
        <v>8</v>
      </c>
      <c r="B35" s="15">
        <f>B36+B41+B46+B51+B56+B58+B60+B62</f>
        <v>43610.976900000001</v>
      </c>
      <c r="C35" s="15">
        <f t="shared" ref="C35:D35" si="3">C36+C41+C46+C51+C56+C58+C60+C62</f>
        <v>523331.72280000005</v>
      </c>
      <c r="D35" s="15">
        <f t="shared" si="3"/>
        <v>0</v>
      </c>
      <c r="E35" s="15">
        <f t="shared" si="1"/>
        <v>523331.72280000005</v>
      </c>
      <c r="F35" s="23">
        <f>'тариф 20-19'!C12</f>
        <v>43610.976900000001</v>
      </c>
      <c r="G35" s="103"/>
    </row>
    <row r="36" spans="1:8" ht="31.5" customHeight="1" x14ac:dyDescent="0.25">
      <c r="A36" s="31" t="s">
        <v>9</v>
      </c>
      <c r="B36" s="35">
        <f>F36</f>
        <v>4537.12662</v>
      </c>
      <c r="C36" s="35">
        <f t="shared" si="2"/>
        <v>54445.519440000004</v>
      </c>
      <c r="D36" s="35">
        <f>SUM(D37:D40)</f>
        <v>0</v>
      </c>
      <c r="E36" s="15">
        <f t="shared" si="1"/>
        <v>54445.519440000004</v>
      </c>
      <c r="F36" s="22">
        <f>'тариф 20-19'!C13</f>
        <v>4537.12662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>
        <f t="shared" si="2"/>
        <v>0</v>
      </c>
      <c r="D37" s="35">
        <v>0</v>
      </c>
      <c r="E37" s="15"/>
      <c r="F37" s="22">
        <f>G40+H40</f>
        <v>2395.2554197951481</v>
      </c>
      <c r="G37" s="1">
        <v>22182</v>
      </c>
      <c r="H37" s="1">
        <v>22182</v>
      </c>
    </row>
    <row r="38" spans="1:8" ht="15.75" x14ac:dyDescent="0.25">
      <c r="A38" s="37" t="s">
        <v>37</v>
      </c>
      <c r="B38" s="35"/>
      <c r="C38" s="35">
        <f t="shared" si="2"/>
        <v>0</v>
      </c>
      <c r="D38" s="35">
        <v>0</v>
      </c>
      <c r="E38" s="15"/>
      <c r="F38" s="22">
        <f>F37*0.302</f>
        <v>723.36713677813475</v>
      </c>
      <c r="G38" s="84">
        <f>'ТХ МКД'!B14/325</f>
        <v>0.29230769230769232</v>
      </c>
      <c r="H38" s="84">
        <f>('ТХ МКД'!B7+'ТХ МКД'!B28*0.5)*0.01631/1000</f>
        <v>9.106036100000002E-2</v>
      </c>
    </row>
    <row r="39" spans="1:8" ht="15.75" x14ac:dyDescent="0.25">
      <c r="A39" s="37" t="s">
        <v>38</v>
      </c>
      <c r="B39" s="35"/>
      <c r="C39" s="35">
        <f t="shared" si="2"/>
        <v>0</v>
      </c>
      <c r="D39" s="35">
        <v>0</v>
      </c>
      <c r="E39" s="15"/>
      <c r="F39" s="22">
        <f>F36-F37-F38</f>
        <v>1418.504063426717</v>
      </c>
      <c r="G39" s="84">
        <f>G38*0.312746</f>
        <v>9.1418061538461548E-2</v>
      </c>
      <c r="H39" s="19">
        <f>H38*0.1819</f>
        <v>1.6563879665900005E-2</v>
      </c>
    </row>
    <row r="40" spans="1:8" ht="15.75" x14ac:dyDescent="0.25">
      <c r="A40" s="37" t="s">
        <v>0</v>
      </c>
      <c r="B40" s="35"/>
      <c r="C40" s="35">
        <f t="shared" si="2"/>
        <v>0</v>
      </c>
      <c r="D40" s="35">
        <v>0</v>
      </c>
      <c r="E40" s="15"/>
      <c r="F40" s="22"/>
      <c r="G40" s="101">
        <f>G37*G39</f>
        <v>2027.8354410461541</v>
      </c>
      <c r="H40" s="101">
        <f>H37*H39</f>
        <v>367.41997874899391</v>
      </c>
    </row>
    <row r="41" spans="1:8" ht="15.75" x14ac:dyDescent="0.25">
      <c r="A41" s="31" t="s">
        <v>10</v>
      </c>
      <c r="B41" s="35">
        <f>F41</f>
        <v>901.22748000000001</v>
      </c>
      <c r="C41" s="35">
        <f t="shared" si="2"/>
        <v>10814.72976</v>
      </c>
      <c r="D41" s="35">
        <f>SUM(D42:D45)</f>
        <v>0</v>
      </c>
      <c r="E41" s="15">
        <f t="shared" si="1"/>
        <v>10814.72976</v>
      </c>
      <c r="F41" s="22">
        <f>'тариф 20-19'!C14</f>
        <v>901.22748000000001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>
        <f t="shared" si="2"/>
        <v>0</v>
      </c>
      <c r="D42" s="35">
        <v>0</v>
      </c>
      <c r="E42" s="15"/>
      <c r="F42" s="109">
        <f>G45/1.7</f>
        <v>584.10437673212664</v>
      </c>
      <c r="G42" s="1">
        <v>22182</v>
      </c>
      <c r="H42" s="1">
        <v>22182</v>
      </c>
    </row>
    <row r="43" spans="1:8" ht="15.75" x14ac:dyDescent="0.25">
      <c r="A43" s="37" t="s">
        <v>37</v>
      </c>
      <c r="B43" s="35"/>
      <c r="C43" s="35">
        <f t="shared" si="2"/>
        <v>0</v>
      </c>
      <c r="D43" s="35">
        <v>0</v>
      </c>
      <c r="E43" s="15"/>
      <c r="F43" s="109">
        <f>F42*0.302</f>
        <v>176.39952177310224</v>
      </c>
      <c r="G43" s="84">
        <f>('ТХ МКД'!B7+'ТХ МКД'!B28*0.5)/39000</f>
        <v>0.14315641025641027</v>
      </c>
    </row>
    <row r="44" spans="1:8" ht="15.75" x14ac:dyDescent="0.25">
      <c r="A44" s="37" t="s">
        <v>38</v>
      </c>
      <c r="B44" s="35"/>
      <c r="C44" s="35">
        <f t="shared" si="2"/>
        <v>0</v>
      </c>
      <c r="D44" s="35">
        <v>0</v>
      </c>
      <c r="E44" s="15"/>
      <c r="F44" s="109">
        <f>F41-F42-F43</f>
        <v>140.72358149477114</v>
      </c>
      <c r="G44" s="84">
        <f>G43*0.3127</f>
        <v>4.4765009487179486E-2</v>
      </c>
    </row>
    <row r="45" spans="1:8" ht="15.75" x14ac:dyDescent="0.25">
      <c r="A45" s="37" t="s">
        <v>0</v>
      </c>
      <c r="B45" s="35"/>
      <c r="C45" s="35">
        <f t="shared" si="2"/>
        <v>0</v>
      </c>
      <c r="D45" s="35">
        <v>0</v>
      </c>
      <c r="E45" s="15"/>
      <c r="F45" s="22"/>
      <c r="G45" s="101">
        <f>G42*G44</f>
        <v>992.97744044461535</v>
      </c>
    </row>
    <row r="46" spans="1:8" ht="15.75" x14ac:dyDescent="0.25">
      <c r="A46" s="31" t="s">
        <v>11</v>
      </c>
      <c r="B46" s="35">
        <f>F46</f>
        <v>1281.2264399999999</v>
      </c>
      <c r="C46" s="35">
        <f t="shared" si="2"/>
        <v>15374.717279999999</v>
      </c>
      <c r="D46" s="35">
        <f>SUM(D47:D50)</f>
        <v>0</v>
      </c>
      <c r="E46" s="15">
        <f t="shared" si="1"/>
        <v>15374.717279999999</v>
      </c>
      <c r="F46" s="22">
        <f>'тариф 20-19'!C15</f>
        <v>1281.2264399999999</v>
      </c>
      <c r="G46" s="107" t="s">
        <v>143</v>
      </c>
    </row>
    <row r="47" spans="1:8" ht="15.75" x14ac:dyDescent="0.25">
      <c r="A47" s="37" t="s">
        <v>36</v>
      </c>
      <c r="B47" s="35"/>
      <c r="C47" s="35">
        <f t="shared" si="2"/>
        <v>0</v>
      </c>
      <c r="D47" s="35">
        <v>0</v>
      </c>
      <c r="E47" s="15"/>
      <c r="F47" s="22">
        <f>G49</f>
        <v>890.25555555555559</v>
      </c>
      <c r="G47" s="1">
        <v>21085</v>
      </c>
    </row>
    <row r="48" spans="1:8" ht="15.75" x14ac:dyDescent="0.25">
      <c r="A48" s="37" t="s">
        <v>37</v>
      </c>
      <c r="B48" s="35"/>
      <c r="C48" s="35">
        <f t="shared" si="2"/>
        <v>0</v>
      </c>
      <c r="D48" s="35">
        <v>0</v>
      </c>
      <c r="E48" s="15"/>
      <c r="F48" s="22">
        <f>F47*0.302</f>
        <v>268.85717777777779</v>
      </c>
      <c r="G48" s="84">
        <f>'ТХ МКД'!B16/2250</f>
        <v>4.2222222222222223E-2</v>
      </c>
    </row>
    <row r="49" spans="1:7" ht="15.75" x14ac:dyDescent="0.25">
      <c r="A49" s="37" t="s">
        <v>38</v>
      </c>
      <c r="B49" s="35"/>
      <c r="C49" s="35">
        <f t="shared" si="2"/>
        <v>0</v>
      </c>
      <c r="D49" s="35">
        <v>0</v>
      </c>
      <c r="E49" s="15"/>
      <c r="F49" s="22">
        <f>F46-F47-F48</f>
        <v>122.11370666666653</v>
      </c>
      <c r="G49" s="101">
        <f>G47*G48</f>
        <v>890.25555555555559</v>
      </c>
    </row>
    <row r="50" spans="1:7" ht="15.75" x14ac:dyDescent="0.25">
      <c r="A50" s="37" t="s">
        <v>0</v>
      </c>
      <c r="B50" s="35"/>
      <c r="C50" s="35">
        <f t="shared" si="2"/>
        <v>0</v>
      </c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341.89745999999997</v>
      </c>
      <c r="C51" s="35">
        <f t="shared" si="2"/>
        <v>4102.7695199999998</v>
      </c>
      <c r="D51" s="35">
        <f>SUM(D52:D55)</f>
        <v>0</v>
      </c>
      <c r="E51" s="15">
        <f t="shared" si="1"/>
        <v>4102.7695199999998</v>
      </c>
      <c r="F51" s="22">
        <f>'тариф 20-19'!C16</f>
        <v>341.89745999999997</v>
      </c>
      <c r="G51" s="107" t="s">
        <v>144</v>
      </c>
    </row>
    <row r="52" spans="1:7" ht="15.75" x14ac:dyDescent="0.25">
      <c r="A52" s="37" t="s">
        <v>74</v>
      </c>
      <c r="B52" s="35"/>
      <c r="C52" s="35">
        <f t="shared" si="2"/>
        <v>0</v>
      </c>
      <c r="D52" s="35"/>
      <c r="E52" s="15"/>
      <c r="F52" s="109">
        <f>G55</f>
        <v>492.75644999999997</v>
      </c>
      <c r="G52" s="1">
        <v>21085</v>
      </c>
    </row>
    <row r="53" spans="1:7" ht="15.75" x14ac:dyDescent="0.25">
      <c r="A53" s="37" t="s">
        <v>37</v>
      </c>
      <c r="B53" s="35"/>
      <c r="C53" s="35">
        <f t="shared" si="2"/>
        <v>0</v>
      </c>
      <c r="D53" s="35"/>
      <c r="E53" s="15"/>
      <c r="F53" s="109">
        <f>F52*0.302</f>
        <v>148.8124479</v>
      </c>
      <c r="G53" s="1">
        <f>'ТХ МКД'!B12/1250</f>
        <v>7.5999999999999998E-2</v>
      </c>
    </row>
    <row r="54" spans="1:7" ht="15.75" x14ac:dyDescent="0.25">
      <c r="A54" s="37" t="s">
        <v>38</v>
      </c>
      <c r="B54" s="35"/>
      <c r="C54" s="35">
        <f t="shared" si="2"/>
        <v>0</v>
      </c>
      <c r="D54" s="35"/>
      <c r="E54" s="15"/>
      <c r="F54" s="22"/>
      <c r="G54" s="84">
        <f>G53*0.3075</f>
        <v>2.3369999999999998E-2</v>
      </c>
    </row>
    <row r="55" spans="1:7" ht="15.75" x14ac:dyDescent="0.25">
      <c r="A55" s="37" t="s">
        <v>0</v>
      </c>
      <c r="B55" s="35"/>
      <c r="C55" s="35">
        <f t="shared" si="2"/>
        <v>0</v>
      </c>
      <c r="D55" s="35"/>
      <c r="E55" s="15"/>
      <c r="F55" s="22"/>
      <c r="G55" s="101">
        <f>G52*G54</f>
        <v>492.75644999999997</v>
      </c>
    </row>
    <row r="56" spans="1:7" ht="31.5" x14ac:dyDescent="0.25">
      <c r="A56" s="31" t="s">
        <v>13</v>
      </c>
      <c r="B56" s="35">
        <f>B57</f>
        <v>25981.15884</v>
      </c>
      <c r="C56" s="35">
        <f t="shared" si="2"/>
        <v>311773.90607999999</v>
      </c>
      <c r="D56" s="35">
        <f>D57</f>
        <v>0</v>
      </c>
      <c r="E56" s="15">
        <f>C56-D56</f>
        <v>311773.90607999999</v>
      </c>
      <c r="F56" s="22">
        <f>'тариф 20-19'!C17</f>
        <v>25981.15884</v>
      </c>
    </row>
    <row r="57" spans="1:7" ht="15.75" x14ac:dyDescent="0.25">
      <c r="A57" s="38" t="s">
        <v>84</v>
      </c>
      <c r="B57" s="35">
        <f>F56</f>
        <v>25981.15884</v>
      </c>
      <c r="C57" s="35">
        <f t="shared" si="2"/>
        <v>311773.90607999999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8225.3518199999999</v>
      </c>
      <c r="C58" s="35">
        <f t="shared" si="2"/>
        <v>98704.221839999998</v>
      </c>
      <c r="D58" s="35">
        <f>D59</f>
        <v>0</v>
      </c>
      <c r="E58" s="15">
        <f t="shared" si="1"/>
        <v>98704.221839999998</v>
      </c>
      <c r="F58" s="22">
        <f>'тариф 20-19'!C18+'тариф 20-19'!C19</f>
        <v>8225.3518199999999</v>
      </c>
    </row>
    <row r="59" spans="1:7" ht="18.75" customHeight="1" x14ac:dyDescent="0.25">
      <c r="A59" s="38" t="s">
        <v>151</v>
      </c>
      <c r="B59" s="35">
        <f>F58</f>
        <v>8225.3518199999999</v>
      </c>
      <c r="C59" s="35">
        <f t="shared" si="2"/>
        <v>98704.221839999998</v>
      </c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2"/>
        <v>0</v>
      </c>
      <c r="D60" s="35"/>
      <c r="E60" s="15">
        <f t="shared" si="1"/>
        <v>0</v>
      </c>
      <c r="F60" s="22"/>
    </row>
    <row r="61" spans="1:7" ht="31.5" hidden="1" x14ac:dyDescent="0.25">
      <c r="A61" s="38" t="s">
        <v>41</v>
      </c>
      <c r="B61" s="35"/>
      <c r="C61" s="35">
        <f t="shared" si="2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</v>
      </c>
      <c r="B62" s="35">
        <f>B63</f>
        <v>2342.9882400000001</v>
      </c>
      <c r="C62" s="35">
        <f t="shared" si="2"/>
        <v>28115.85888</v>
      </c>
      <c r="D62" s="35">
        <f>D63</f>
        <v>0</v>
      </c>
      <c r="E62" s="15">
        <f t="shared" si="1"/>
        <v>28115.85888</v>
      </c>
      <c r="F62" s="22">
        <f>'тариф 20-19'!C20</f>
        <v>2342.9882400000001</v>
      </c>
    </row>
    <row r="63" spans="1:7" ht="33" customHeight="1" x14ac:dyDescent="0.25">
      <c r="A63" s="39" t="s">
        <v>40</v>
      </c>
      <c r="B63" s="35">
        <f>F62</f>
        <v>2342.9882400000001</v>
      </c>
      <c r="C63" s="35">
        <f t="shared" si="2"/>
        <v>28115.85888</v>
      </c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21596.946240000001</v>
      </c>
      <c r="C64" s="16">
        <f t="shared" ref="C64:D64" si="4">C65+C66+C71+C72+C77+C79</f>
        <v>259163.35488</v>
      </c>
      <c r="D64" s="16">
        <f t="shared" si="4"/>
        <v>0</v>
      </c>
      <c r="E64" s="15">
        <f t="shared" si="1"/>
        <v>259163.35488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si="1"/>
        <v>0</v>
      </c>
      <c r="F65" s="22"/>
    </row>
    <row r="66" spans="1:7" ht="31.5" customHeight="1" x14ac:dyDescent="0.25">
      <c r="A66" s="31" t="s">
        <v>19</v>
      </c>
      <c r="B66" s="35">
        <f>SUM(B67:B70)</f>
        <v>6656.5860599999996</v>
      </c>
      <c r="C66" s="35">
        <f t="shared" si="2"/>
        <v>79879.032719999988</v>
      </c>
      <c r="D66" s="35">
        <f>SUM(D67:D70)</f>
        <v>0</v>
      </c>
      <c r="E66" s="15">
        <f t="shared" si="1"/>
        <v>79879.032719999988</v>
      </c>
      <c r="F66" s="22">
        <f>'тариф 20-19'!C23</f>
        <v>6656.5860599999996</v>
      </c>
      <c r="G66" s="107" t="s">
        <v>145</v>
      </c>
    </row>
    <row r="67" spans="1:7" ht="15.75" x14ac:dyDescent="0.25">
      <c r="A67" s="37" t="s">
        <v>147</v>
      </c>
      <c r="B67" s="35">
        <f>F67</f>
        <v>4716.6399238095246</v>
      </c>
      <c r="C67" s="35">
        <f t="shared" si="2"/>
        <v>56599.679085714291</v>
      </c>
      <c r="D67" s="35"/>
      <c r="E67" s="15"/>
      <c r="F67" s="22">
        <f>G69</f>
        <v>4716.6399238095246</v>
      </c>
      <c r="G67" s="1">
        <v>12188</v>
      </c>
    </row>
    <row r="68" spans="1:7" ht="15.75" x14ac:dyDescent="0.25">
      <c r="A68" s="37" t="s">
        <v>37</v>
      </c>
      <c r="B68" s="35">
        <f t="shared" ref="B68:B69" si="5">F68</f>
        <v>1424.4252569904763</v>
      </c>
      <c r="C68" s="35">
        <f t="shared" si="2"/>
        <v>17093.103083885715</v>
      </c>
      <c r="D68" s="35"/>
      <c r="E68" s="15"/>
      <c r="F68" s="22">
        <f>F67*0.302</f>
        <v>1424.4252569904763</v>
      </c>
      <c r="G68" s="105">
        <f>'ТХ МКД'!B30/5250</f>
        <v>0.38699047619047622</v>
      </c>
    </row>
    <row r="69" spans="1:7" ht="15.75" x14ac:dyDescent="0.25">
      <c r="A69" s="37" t="s">
        <v>38</v>
      </c>
      <c r="B69" s="35">
        <f t="shared" si="5"/>
        <v>515.52087919999872</v>
      </c>
      <c r="C69" s="35">
        <f t="shared" si="2"/>
        <v>6186.2505503999846</v>
      </c>
      <c r="D69" s="35"/>
      <c r="E69" s="15"/>
      <c r="F69" s="22">
        <f>F66-F67-F68</f>
        <v>515.52087919999872</v>
      </c>
      <c r="G69" s="101">
        <f>G67*G68</f>
        <v>4716.6399238095246</v>
      </c>
    </row>
    <row r="70" spans="1:7" ht="15.75" x14ac:dyDescent="0.25">
      <c r="A70" s="37" t="s">
        <v>0</v>
      </c>
      <c r="B70" s="35"/>
      <c r="C70" s="35">
        <f t="shared" si="2"/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6663.1903200000015</v>
      </c>
      <c r="C72" s="35">
        <f t="shared" si="2"/>
        <v>79958.283840000018</v>
      </c>
      <c r="D72" s="35">
        <f>SUM(D73:D76)</f>
        <v>0</v>
      </c>
      <c r="E72" s="15">
        <f t="shared" si="1"/>
        <v>79958.283840000018</v>
      </c>
      <c r="F72" s="22">
        <f>'тариф 20-19'!C25</f>
        <v>6663.1903200000006</v>
      </c>
      <c r="G72" s="1" t="s">
        <v>146</v>
      </c>
    </row>
    <row r="73" spans="1:7" ht="31.5" x14ac:dyDescent="0.25">
      <c r="A73" s="37" t="s">
        <v>148</v>
      </c>
      <c r="B73" s="35">
        <f>F73</f>
        <v>4920.3407407407412</v>
      </c>
      <c r="C73" s="35">
        <f t="shared" si="2"/>
        <v>59044.088888888895</v>
      </c>
      <c r="D73" s="35"/>
      <c r="E73" s="15"/>
      <c r="F73" s="22">
        <f>G75</f>
        <v>4920.3407407407412</v>
      </c>
      <c r="G73" s="1">
        <v>12188</v>
      </c>
    </row>
    <row r="74" spans="1:7" ht="15.75" x14ac:dyDescent="0.25">
      <c r="A74" s="37" t="s">
        <v>37</v>
      </c>
      <c r="B74" s="35">
        <f>B73*0.302</f>
        <v>1485.9429037037039</v>
      </c>
      <c r="C74" s="35">
        <f t="shared" si="2"/>
        <v>17831.314844444445</v>
      </c>
      <c r="D74" s="35"/>
      <c r="E74" s="15"/>
      <c r="F74" s="22">
        <f>F73*0.302</f>
        <v>1485.9429037037039</v>
      </c>
      <c r="G74" s="84">
        <f>'ТХ МКД'!B18/540</f>
        <v>0.40370370370370373</v>
      </c>
    </row>
    <row r="75" spans="1:7" ht="15.75" x14ac:dyDescent="0.25">
      <c r="A75" s="37" t="s">
        <v>38</v>
      </c>
      <c r="B75" s="35">
        <f>F72-B74-B73</f>
        <v>256.90667555555592</v>
      </c>
      <c r="C75" s="35">
        <f t="shared" ref="C75:C85" si="6">B75*12</f>
        <v>3082.8801066666711</v>
      </c>
      <c r="D75" s="35"/>
      <c r="E75" s="15"/>
      <c r="F75" s="22">
        <f>F72-F73-F74</f>
        <v>256.90667555555547</v>
      </c>
      <c r="G75" s="101">
        <f>G73*G74</f>
        <v>4920.3407407407412</v>
      </c>
    </row>
    <row r="76" spans="1:7" ht="15.75" x14ac:dyDescent="0.25">
      <c r="A76" s="37" t="s">
        <v>0</v>
      </c>
      <c r="B76" s="35"/>
      <c r="C76" s="35">
        <f t="shared" si="6"/>
        <v>0</v>
      </c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1876.6258800000001</v>
      </c>
      <c r="C77" s="35">
        <f t="shared" si="6"/>
        <v>22519.510560000002</v>
      </c>
      <c r="D77" s="35">
        <f>D78</f>
        <v>0</v>
      </c>
      <c r="E77" s="15">
        <f t="shared" ref="E77:E117" si="7">C77-D77</f>
        <v>22519.510560000002</v>
      </c>
      <c r="F77" s="22">
        <f>'тариф 20-19'!C26</f>
        <v>1876.6258800000001</v>
      </c>
    </row>
    <row r="78" spans="1:7" ht="33" customHeight="1" x14ac:dyDescent="0.25">
      <c r="A78" s="38" t="s">
        <v>40</v>
      </c>
      <c r="B78" s="35">
        <f>F77</f>
        <v>1876.6258800000001</v>
      </c>
      <c r="C78" s="35">
        <f t="shared" si="6"/>
        <v>22519.510560000002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6400.5439799999995</v>
      </c>
      <c r="C79" s="35">
        <f t="shared" si="6"/>
        <v>76806.527759999997</v>
      </c>
      <c r="D79" s="35">
        <f>SUM(D80:D83)</f>
        <v>0</v>
      </c>
      <c r="E79" s="15">
        <f t="shared" si="7"/>
        <v>76806.527759999997</v>
      </c>
      <c r="F79" s="22">
        <f>'тариф 20-19'!C27</f>
        <v>6400.5439799999995</v>
      </c>
    </row>
    <row r="80" spans="1:7" ht="15.75" x14ac:dyDescent="0.25">
      <c r="A80" s="37" t="s">
        <v>36</v>
      </c>
      <c r="B80" s="35"/>
      <c r="C80" s="35">
        <f t="shared" si="6"/>
        <v>0</v>
      </c>
      <c r="D80" s="35"/>
      <c r="E80" s="15"/>
      <c r="F80" s="22"/>
    </row>
    <row r="81" spans="1:6" ht="15.75" x14ac:dyDescent="0.25">
      <c r="A81" s="37" t="s">
        <v>37</v>
      </c>
      <c r="B81" s="35"/>
      <c r="C81" s="35">
        <f t="shared" si="6"/>
        <v>0</v>
      </c>
      <c r="D81" s="35"/>
      <c r="E81" s="15"/>
      <c r="F81" s="22"/>
    </row>
    <row r="82" spans="1:6" ht="15.75" x14ac:dyDescent="0.25">
      <c r="A82" s="37" t="s">
        <v>38</v>
      </c>
      <c r="B82" s="35"/>
      <c r="C82" s="35">
        <f t="shared" si="6"/>
        <v>0</v>
      </c>
      <c r="D82" s="35"/>
      <c r="E82" s="15"/>
      <c r="F82" s="22"/>
    </row>
    <row r="83" spans="1:6" ht="15.75" x14ac:dyDescent="0.25">
      <c r="A83" s="37" t="s">
        <v>0</v>
      </c>
      <c r="B83" s="35"/>
      <c r="C83" s="35">
        <f t="shared" si="6"/>
        <v>0</v>
      </c>
      <c r="D83" s="35"/>
      <c r="E83" s="15"/>
      <c r="F83" s="22"/>
    </row>
    <row r="84" spans="1:6" ht="15.75" hidden="1" x14ac:dyDescent="0.25">
      <c r="A84" s="29" t="s">
        <v>24</v>
      </c>
      <c r="B84" s="15"/>
      <c r="C84" s="35">
        <f t="shared" si="6"/>
        <v>0</v>
      </c>
      <c r="D84" s="15"/>
      <c r="E84" s="15">
        <f t="shared" si="7"/>
        <v>0</v>
      </c>
      <c r="F84" s="22"/>
    </row>
    <row r="85" spans="1:6" ht="31.5" x14ac:dyDescent="0.25">
      <c r="A85" s="29" t="s">
        <v>80</v>
      </c>
      <c r="B85" s="15">
        <f>'тариф 20-19'!C28+'тариф 20-19'!C29</f>
        <v>22684.109039999999</v>
      </c>
      <c r="C85" s="15">
        <f t="shared" si="6"/>
        <v>272209.30848000001</v>
      </c>
      <c r="D85" s="15">
        <f>D86+D97</f>
        <v>0</v>
      </c>
      <c r="E85" s="15">
        <f t="shared" si="7"/>
        <v>272209.30848000001</v>
      </c>
      <c r="F85" s="22">
        <f>'тариф 20-19'!C28+'тариф 20-19'!C29</f>
        <v>22684.109039999999</v>
      </c>
    </row>
    <row r="86" spans="1:6" ht="17.25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x14ac:dyDescent="0.25">
      <c r="A87" s="70" t="s">
        <v>85</v>
      </c>
      <c r="B87" s="15"/>
      <c r="C87" s="35"/>
      <c r="D87" s="35">
        <f>F87*$D$118*6</f>
        <v>0</v>
      </c>
      <c r="E87" s="15"/>
      <c r="F87" s="50"/>
    </row>
    <row r="88" spans="1:6" ht="15.75" x14ac:dyDescent="0.25">
      <c r="A88" s="70" t="s">
        <v>37</v>
      </c>
      <c r="B88" s="15"/>
      <c r="C88" s="35"/>
      <c r="D88" s="35">
        <f>F88*$D$118*6</f>
        <v>0</v>
      </c>
      <c r="E88" s="15"/>
      <c r="F88" s="50"/>
    </row>
    <row r="89" spans="1:6" ht="15.75" x14ac:dyDescent="0.25">
      <c r="A89" s="70" t="s">
        <v>50</v>
      </c>
      <c r="B89" s="15"/>
      <c r="C89" s="35"/>
      <c r="D89" s="35">
        <f t="shared" ref="D89:D96" si="8">F89*$D$118*6</f>
        <v>0</v>
      </c>
      <c r="E89" s="15"/>
      <c r="F89" s="50"/>
    </row>
    <row r="90" spans="1:6" ht="15.75" x14ac:dyDescent="0.25">
      <c r="A90" s="70" t="s">
        <v>51</v>
      </c>
      <c r="B90" s="15"/>
      <c r="C90" s="35"/>
      <c r="D90" s="35">
        <f t="shared" si="8"/>
        <v>0</v>
      </c>
      <c r="E90" s="15"/>
      <c r="F90" s="50"/>
    </row>
    <row r="91" spans="1:6" ht="15.75" x14ac:dyDescent="0.25">
      <c r="A91" s="70" t="s">
        <v>76</v>
      </c>
      <c r="B91" s="15"/>
      <c r="C91" s="35"/>
      <c r="D91" s="35">
        <f t="shared" si="8"/>
        <v>0</v>
      </c>
      <c r="E91" s="15"/>
      <c r="F91" s="50"/>
    </row>
    <row r="92" spans="1:6" ht="15.75" x14ac:dyDescent="0.25">
      <c r="A92" s="70" t="s">
        <v>52</v>
      </c>
      <c r="B92" s="15"/>
      <c r="C92" s="35"/>
      <c r="D92" s="35">
        <f t="shared" si="8"/>
        <v>0</v>
      </c>
      <c r="E92" s="15"/>
      <c r="F92" s="50"/>
    </row>
    <row r="93" spans="1:6" ht="15.75" x14ac:dyDescent="0.25">
      <c r="A93" s="70" t="s">
        <v>77</v>
      </c>
      <c r="B93" s="15"/>
      <c r="C93" s="35"/>
      <c r="D93" s="35">
        <f t="shared" si="8"/>
        <v>0</v>
      </c>
      <c r="E93" s="15"/>
      <c r="F93" s="50"/>
    </row>
    <row r="94" spans="1:6" ht="15.75" x14ac:dyDescent="0.25">
      <c r="A94" s="70" t="s">
        <v>53</v>
      </c>
      <c r="B94" s="15"/>
      <c r="C94" s="35"/>
      <c r="D94" s="35">
        <f t="shared" si="8"/>
        <v>0</v>
      </c>
      <c r="E94" s="15"/>
      <c r="F94" s="50"/>
    </row>
    <row r="95" spans="1:6" ht="15.75" x14ac:dyDescent="0.25">
      <c r="A95" s="70" t="s">
        <v>54</v>
      </c>
      <c r="B95" s="15"/>
      <c r="C95" s="35"/>
      <c r="D95" s="35">
        <f t="shared" si="8"/>
        <v>0</v>
      </c>
      <c r="E95" s="15"/>
      <c r="F95" s="50"/>
    </row>
    <row r="96" spans="1:6" ht="15.75" x14ac:dyDescent="0.25">
      <c r="A96" s="70" t="s">
        <v>0</v>
      </c>
      <c r="B96" s="15"/>
      <c r="C96" s="35"/>
      <c r="D96" s="35">
        <f t="shared" si="8"/>
        <v>0</v>
      </c>
      <c r="E96" s="15"/>
      <c r="F96" s="50"/>
    </row>
    <row r="97" spans="1:6" ht="17.25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x14ac:dyDescent="0.25">
      <c r="A98" s="71" t="s">
        <v>86</v>
      </c>
      <c r="B98" s="15"/>
      <c r="C98" s="35"/>
      <c r="D98" s="35">
        <f>F98*$D$118*6</f>
        <v>0</v>
      </c>
      <c r="E98" s="15"/>
      <c r="F98" s="50"/>
    </row>
    <row r="99" spans="1:6" ht="15.75" x14ac:dyDescent="0.25">
      <c r="A99" s="71" t="s">
        <v>37</v>
      </c>
      <c r="B99" s="15"/>
      <c r="C99" s="35"/>
      <c r="D99" s="35">
        <f>F99*$D$118*6</f>
        <v>0</v>
      </c>
      <c r="E99" s="15"/>
      <c r="F99" s="50"/>
    </row>
    <row r="100" spans="1:6" ht="30" x14ac:dyDescent="0.25">
      <c r="A100" s="71" t="s">
        <v>55</v>
      </c>
      <c r="B100" s="15"/>
      <c r="C100" s="35"/>
      <c r="D100" s="35">
        <f t="shared" ref="D100:D116" si="9">F100*$D$118*6</f>
        <v>0</v>
      </c>
      <c r="E100" s="15"/>
      <c r="F100" s="50"/>
    </row>
    <row r="101" spans="1:6" ht="15.75" x14ac:dyDescent="0.25">
      <c r="A101" s="72" t="s">
        <v>56</v>
      </c>
      <c r="B101" s="15"/>
      <c r="C101" s="35"/>
      <c r="D101" s="35">
        <f t="shared" si="9"/>
        <v>0</v>
      </c>
      <c r="E101" s="15"/>
      <c r="F101" s="50"/>
    </row>
    <row r="102" spans="1:6" ht="15.75" x14ac:dyDescent="0.25">
      <c r="A102" s="72" t="s">
        <v>57</v>
      </c>
      <c r="B102" s="15"/>
      <c r="C102" s="35"/>
      <c r="D102" s="35">
        <f t="shared" si="9"/>
        <v>0</v>
      </c>
      <c r="E102" s="15"/>
      <c r="F102" s="50"/>
    </row>
    <row r="103" spans="1:6" ht="15.75" x14ac:dyDescent="0.25">
      <c r="A103" s="72" t="s">
        <v>58</v>
      </c>
      <c r="B103" s="15"/>
      <c r="C103" s="35"/>
      <c r="D103" s="35">
        <f t="shared" si="9"/>
        <v>0</v>
      </c>
      <c r="E103" s="15"/>
      <c r="F103" s="50"/>
    </row>
    <row r="104" spans="1:6" ht="15.75" x14ac:dyDescent="0.25">
      <c r="A104" s="72" t="s">
        <v>59</v>
      </c>
      <c r="B104" s="15"/>
      <c r="C104" s="35"/>
      <c r="D104" s="35">
        <f t="shared" si="9"/>
        <v>0</v>
      </c>
      <c r="E104" s="15"/>
      <c r="F104" s="50"/>
    </row>
    <row r="105" spans="1:6" ht="15.75" x14ac:dyDescent="0.25">
      <c r="A105" s="72" t="s">
        <v>60</v>
      </c>
      <c r="B105" s="15"/>
      <c r="C105" s="35"/>
      <c r="D105" s="35">
        <f t="shared" si="9"/>
        <v>0</v>
      </c>
      <c r="E105" s="15"/>
      <c r="F105" s="50"/>
    </row>
    <row r="106" spans="1:6" ht="15.75" x14ac:dyDescent="0.25">
      <c r="A106" s="72" t="s">
        <v>61</v>
      </c>
      <c r="B106" s="15"/>
      <c r="C106" s="35"/>
      <c r="D106" s="35">
        <f t="shared" si="9"/>
        <v>0</v>
      </c>
      <c r="E106" s="15"/>
      <c r="F106" s="50"/>
    </row>
    <row r="107" spans="1:6" ht="15.75" x14ac:dyDescent="0.25">
      <c r="A107" s="72" t="s">
        <v>62</v>
      </c>
      <c r="B107" s="15"/>
      <c r="C107" s="35"/>
      <c r="D107" s="35">
        <f t="shared" si="9"/>
        <v>0</v>
      </c>
      <c r="E107" s="15"/>
      <c r="F107" s="50"/>
    </row>
    <row r="108" spans="1:6" ht="15.75" x14ac:dyDescent="0.25">
      <c r="A108" s="73" t="s">
        <v>63</v>
      </c>
      <c r="B108" s="15"/>
      <c r="C108" s="35"/>
      <c r="D108" s="35">
        <f t="shared" si="9"/>
        <v>0</v>
      </c>
      <c r="E108" s="15"/>
      <c r="F108" s="50"/>
    </row>
    <row r="109" spans="1:6" ht="15.75" x14ac:dyDescent="0.25">
      <c r="A109" s="72" t="s">
        <v>64</v>
      </c>
      <c r="B109" s="15"/>
      <c r="C109" s="35"/>
      <c r="D109" s="35">
        <f t="shared" si="9"/>
        <v>0</v>
      </c>
      <c r="E109" s="15"/>
      <c r="F109" s="50"/>
    </row>
    <row r="110" spans="1:6" ht="15.75" x14ac:dyDescent="0.25">
      <c r="A110" s="72" t="s">
        <v>65</v>
      </c>
      <c r="B110" s="15"/>
      <c r="C110" s="35"/>
      <c r="D110" s="35">
        <f t="shared" si="9"/>
        <v>0</v>
      </c>
      <c r="E110" s="15"/>
      <c r="F110" s="50"/>
    </row>
    <row r="111" spans="1:6" ht="15.75" x14ac:dyDescent="0.25">
      <c r="A111" s="72" t="s">
        <v>78</v>
      </c>
      <c r="B111" s="15"/>
      <c r="C111" s="35"/>
      <c r="D111" s="35">
        <f t="shared" si="9"/>
        <v>0</v>
      </c>
      <c r="E111" s="15"/>
      <c r="F111" s="50"/>
    </row>
    <row r="112" spans="1:6" ht="15.75" x14ac:dyDescent="0.25">
      <c r="A112" s="73" t="s">
        <v>66</v>
      </c>
      <c r="B112" s="15"/>
      <c r="C112" s="35"/>
      <c r="D112" s="35">
        <f t="shared" si="9"/>
        <v>0</v>
      </c>
      <c r="E112" s="15"/>
      <c r="F112" s="50"/>
    </row>
    <row r="113" spans="1:7" ht="15.75" x14ac:dyDescent="0.25">
      <c r="A113" s="72" t="s">
        <v>67</v>
      </c>
      <c r="B113" s="15"/>
      <c r="C113" s="35"/>
      <c r="D113" s="35">
        <f t="shared" si="9"/>
        <v>0</v>
      </c>
      <c r="E113" s="15"/>
      <c r="F113" s="50"/>
    </row>
    <row r="114" spans="1:7" ht="25.5" x14ac:dyDescent="0.25">
      <c r="A114" s="72" t="s">
        <v>79</v>
      </c>
      <c r="B114" s="15"/>
      <c r="C114" s="35"/>
      <c r="D114" s="35">
        <f t="shared" si="9"/>
        <v>0</v>
      </c>
      <c r="E114" s="15"/>
      <c r="F114" s="50"/>
    </row>
    <row r="115" spans="1:7" ht="15.75" x14ac:dyDescent="0.25">
      <c r="A115" s="73" t="s">
        <v>68</v>
      </c>
      <c r="B115" s="15"/>
      <c r="C115" s="35"/>
      <c r="D115" s="35">
        <f t="shared" si="9"/>
        <v>0</v>
      </c>
      <c r="E115" s="15"/>
      <c r="F115" s="50"/>
    </row>
    <row r="116" spans="1:7" ht="16.5" customHeight="1" x14ac:dyDescent="0.25">
      <c r="A116" s="73" t="s">
        <v>69</v>
      </c>
      <c r="B116" s="15"/>
      <c r="C116" s="35"/>
      <c r="D116" s="35">
        <f t="shared" si="9"/>
        <v>0</v>
      </c>
      <c r="E116" s="15"/>
      <c r="F116" s="50"/>
    </row>
    <row r="117" spans="1:7" ht="18" customHeight="1" x14ac:dyDescent="0.25">
      <c r="A117" s="33" t="s">
        <v>35</v>
      </c>
      <c r="B117" s="17">
        <f>B85+B84+B64+B35+B9</f>
        <v>90866.997300000003</v>
      </c>
      <c r="C117" s="17">
        <f>C85+C84+C64+C35+C9</f>
        <v>1090403.9676000001</v>
      </c>
      <c r="D117" s="17">
        <f>D85+D84+D64+D35+D9</f>
        <v>0</v>
      </c>
      <c r="E117" s="15">
        <f t="shared" si="7"/>
        <v>1090403.9676000001</v>
      </c>
      <c r="F117" s="52"/>
      <c r="G117" s="17">
        <v>30151.506310000001</v>
      </c>
    </row>
    <row r="118" spans="1:7" ht="16.5" customHeight="1" x14ac:dyDescent="0.25">
      <c r="A118" s="29" t="s">
        <v>27</v>
      </c>
      <c r="B118" s="28">
        <f>'тариф 20-19'!B31</f>
        <v>5080.2</v>
      </c>
      <c r="C118" s="28">
        <f>'тариф 20-19'!B31</f>
        <v>5080.2</v>
      </c>
      <c r="D118" s="28">
        <f>'тариф 20-19'!B31</f>
        <v>5080.2</v>
      </c>
      <c r="E118" s="54"/>
      <c r="F118" s="14"/>
    </row>
    <row r="119" spans="1:7" ht="15.75" x14ac:dyDescent="0.25">
      <c r="A119" s="40" t="s">
        <v>39</v>
      </c>
      <c r="B119" s="41">
        <f>B117/B118</f>
        <v>17.886500000000002</v>
      </c>
      <c r="C119" s="41">
        <f>C117/C118/12</f>
        <v>17.886500000000002</v>
      </c>
      <c r="D119" s="41">
        <f>D117/D118/6</f>
        <v>0</v>
      </c>
      <c r="E119" s="43"/>
      <c r="F119" s="19"/>
    </row>
    <row r="120" spans="1:7" ht="15.75" x14ac:dyDescent="0.25">
      <c r="A120" s="42"/>
      <c r="B120" s="49"/>
      <c r="C120" s="49"/>
      <c r="D120" s="49"/>
      <c r="E120" s="49"/>
      <c r="F120" s="19"/>
    </row>
    <row r="121" spans="1:7" ht="15.75" hidden="1" x14ac:dyDescent="0.25">
      <c r="A121" s="42"/>
      <c r="B121" s="49"/>
      <c r="C121" s="49"/>
      <c r="D121" s="49"/>
      <c r="E121" s="49"/>
      <c r="F121" s="19"/>
    </row>
    <row r="122" spans="1:7" ht="18.75" hidden="1" x14ac:dyDescent="0.3">
      <c r="A122" s="45" t="s">
        <v>48</v>
      </c>
      <c r="B122" s="1" t="s">
        <v>32</v>
      </c>
      <c r="C122" s="46"/>
      <c r="D122" s="46"/>
      <c r="E122" s="46"/>
      <c r="F122" s="1"/>
    </row>
    <row r="123" spans="1:7" ht="15.75" x14ac:dyDescent="0.25">
      <c r="A123" s="30"/>
      <c r="B123" s="48"/>
      <c r="C123" s="48"/>
      <c r="D123" s="48"/>
      <c r="E123" s="48"/>
    </row>
    <row r="124" spans="1:7" ht="15.75" x14ac:dyDescent="0.25">
      <c r="A124" s="13" t="s">
        <v>31</v>
      </c>
      <c r="B124" s="44" t="s">
        <v>46</v>
      </c>
      <c r="D124" s="44" t="s">
        <v>33</v>
      </c>
      <c r="E124" s="44"/>
    </row>
    <row r="125" spans="1:7" ht="15.75" x14ac:dyDescent="0.25">
      <c r="A125" s="30"/>
      <c r="B125" s="48"/>
      <c r="C125" s="48"/>
      <c r="D125" s="48"/>
      <c r="E125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opLeftCell="A62" zoomScaleNormal="100" workbookViewId="0">
      <selection activeCell="I75" sqref="G8:I75"/>
    </sheetView>
  </sheetViews>
  <sheetFormatPr defaultRowHeight="15" x14ac:dyDescent="0.25"/>
  <cols>
    <col min="1" max="1" width="59.7109375" style="1" customWidth="1"/>
    <col min="2" max="2" width="14.28515625" style="2" customWidth="1"/>
    <col min="3" max="3" width="13.7109375" style="2" customWidth="1"/>
    <col min="4" max="4" width="14.7109375" style="2" customWidth="1"/>
    <col min="5" max="5" width="19.28515625" style="2" customWidth="1"/>
    <col min="6" max="6" width="17.140625" style="2" customWidth="1"/>
    <col min="7" max="7" width="21" style="1" customWidth="1"/>
    <col min="8" max="8" width="12" style="1" customWidth="1"/>
    <col min="9" max="12" width="9.140625" style="1" customWidth="1"/>
    <col min="13" max="16384" width="9.140625" style="1"/>
  </cols>
  <sheetData>
    <row r="1" spans="1:10" ht="28.5" customHeight="1" x14ac:dyDescent="0.25">
      <c r="A1" s="68" t="s">
        <v>47</v>
      </c>
      <c r="B1" s="48"/>
      <c r="C1" s="48"/>
      <c r="D1" s="48"/>
      <c r="E1" s="48"/>
    </row>
    <row r="2" spans="1:10" ht="30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46" t="s">
        <v>92</v>
      </c>
      <c r="B3" s="146"/>
      <c r="C3" s="146"/>
      <c r="D3" s="146"/>
      <c r="E3" s="146"/>
      <c r="F3" s="20"/>
    </row>
    <row r="4" spans="1:10" ht="22.5" customHeight="1" x14ac:dyDescent="0.25">
      <c r="A4" s="57" t="s">
        <v>1</v>
      </c>
      <c r="B4" s="147" t="str">
        <f>'тариф 20-19'!B2</f>
        <v>Тимирязева, 27 /2/3/4/5/6</v>
      </c>
      <c r="C4" s="148"/>
      <c r="D4" s="148"/>
      <c r="E4" s="149"/>
      <c r="F4" s="25"/>
    </row>
    <row r="5" spans="1:10" ht="20.25" customHeight="1" x14ac:dyDescent="0.25">
      <c r="A5" s="150" t="s">
        <v>30</v>
      </c>
      <c r="B5" s="153" t="s">
        <v>44</v>
      </c>
      <c r="C5" s="155"/>
      <c r="D5" s="51" t="s">
        <v>45</v>
      </c>
      <c r="E5" s="51" t="s">
        <v>72</v>
      </c>
    </row>
    <row r="6" spans="1:10" ht="18" customHeight="1" x14ac:dyDescent="0.25">
      <c r="A6" s="151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52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2974.9651199999994</v>
      </c>
      <c r="C9" s="15">
        <f>C10+C15+C20+C25+C30</f>
        <v>35699.581440000002</v>
      </c>
      <c r="D9" s="15">
        <f t="shared" ref="D9" si="0">D10+D15+D20+D25+D30</f>
        <v>0</v>
      </c>
      <c r="E9" s="15">
        <f>C9-D9</f>
        <v>35699.581440000002</v>
      </c>
      <c r="F9" s="23">
        <f>'тариф 20-19'!C5</f>
        <v>2974.9651199999994</v>
      </c>
      <c r="G9" s="106">
        <v>0</v>
      </c>
    </row>
    <row r="10" spans="1:10" ht="63.75" customHeight="1" x14ac:dyDescent="0.25">
      <c r="A10" s="31" t="s">
        <v>3</v>
      </c>
      <c r="B10" s="35">
        <f>F10</f>
        <v>247.91376</v>
      </c>
      <c r="C10" s="35">
        <f>B10*12</f>
        <v>2974.9651199999998</v>
      </c>
      <c r="D10" s="35">
        <f>SUM(D11:D14)</f>
        <v>0</v>
      </c>
      <c r="E10" s="15">
        <f>C10-D10</f>
        <v>2974.9651199999998</v>
      </c>
      <c r="F10" s="22">
        <f>'тариф 20-19'!E6</f>
        <v>247.91376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/>
      <c r="D11" s="35">
        <v>0</v>
      </c>
      <c r="E11" s="15"/>
      <c r="F11" s="22">
        <f>G14+H14</f>
        <v>215.86575660039352</v>
      </c>
      <c r="G11" s="18">
        <v>19379</v>
      </c>
      <c r="H11" s="1">
        <v>21085</v>
      </c>
      <c r="J11" s="18"/>
    </row>
    <row r="12" spans="1:10" ht="14.25" customHeight="1" x14ac:dyDescent="0.25">
      <c r="A12" s="36" t="s">
        <v>37</v>
      </c>
      <c r="B12" s="35"/>
      <c r="C12" s="35"/>
      <c r="D12" s="35">
        <v>0</v>
      </c>
      <c r="E12" s="15"/>
      <c r="F12" s="22">
        <f>F11*0.302</f>
        <v>65.191458493318848</v>
      </c>
      <c r="G12" s="84">
        <f>('ТХ МКД'!B7+'ТХ МКД'!B28*0.5)*0.0111/1000</f>
        <v>6.1972410000000006E-2</v>
      </c>
      <c r="H12" s="84">
        <f>('ТХ МКД'!B7+'ТХ МКД'!B28*0.5)*0.00539/1000</f>
        <v>3.0092909000000001E-2</v>
      </c>
      <c r="I12" s="100"/>
    </row>
    <row r="13" spans="1:10" ht="14.25" customHeight="1" x14ac:dyDescent="0.25">
      <c r="A13" s="36" t="s">
        <v>38</v>
      </c>
      <c r="B13" s="35"/>
      <c r="C13" s="35"/>
      <c r="D13" s="35">
        <v>0</v>
      </c>
      <c r="E13" s="15"/>
      <c r="F13" s="22">
        <f>F10-F11-F12</f>
        <v>-33.143455093712376</v>
      </c>
      <c r="G13" s="84">
        <f>G12*0.109</f>
        <v>6.7549926900000003E-3</v>
      </c>
      <c r="H13" s="84">
        <f>H12*0.1339</f>
        <v>4.0294405150999996E-3</v>
      </c>
    </row>
    <row r="14" spans="1:10" ht="14.25" customHeight="1" x14ac:dyDescent="0.25">
      <c r="A14" s="36" t="s">
        <v>0</v>
      </c>
      <c r="B14" s="35"/>
      <c r="C14" s="35"/>
      <c r="D14" s="35">
        <v>0</v>
      </c>
      <c r="E14" s="15"/>
      <c r="F14" s="22"/>
      <c r="G14" s="101">
        <f>G11*G13</f>
        <v>130.90500333951002</v>
      </c>
      <c r="H14" s="101">
        <f>H11*H13</f>
        <v>84.960753260883493</v>
      </c>
    </row>
    <row r="15" spans="1:10" ht="33.75" customHeight="1" x14ac:dyDescent="0.25">
      <c r="A15" s="31" t="s">
        <v>4</v>
      </c>
      <c r="B15" s="35">
        <f>F15</f>
        <v>1208.5795799999999</v>
      </c>
      <c r="C15" s="35">
        <f>B15*12</f>
        <v>14502.954959999999</v>
      </c>
      <c r="D15" s="35">
        <f>SUM(D16:D19)</f>
        <v>0</v>
      </c>
      <c r="E15" s="15">
        <f>C15-D15</f>
        <v>14502.954959999999</v>
      </c>
      <c r="F15" s="22">
        <f>'тариф 20-19'!E7</f>
        <v>1208.5795799999999</v>
      </c>
      <c r="G15" s="107" t="s">
        <v>135</v>
      </c>
      <c r="H15" s="107" t="s">
        <v>136</v>
      </c>
      <c r="I15" s="107" t="s">
        <v>137</v>
      </c>
    </row>
    <row r="16" spans="1:10" ht="14.25" customHeight="1" x14ac:dyDescent="0.25">
      <c r="A16" s="37" t="s">
        <v>36</v>
      </c>
      <c r="B16" s="35"/>
      <c r="C16" s="35"/>
      <c r="D16" s="35">
        <v>0</v>
      </c>
      <c r="E16" s="15"/>
      <c r="F16" s="22">
        <f>G19+H19</f>
        <v>770.85042578275056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37" t="s">
        <v>37</v>
      </c>
      <c r="B17" s="35"/>
      <c r="C17" s="35"/>
      <c r="D17" s="35">
        <v>0</v>
      </c>
      <c r="E17" s="15"/>
      <c r="F17" s="22">
        <f>F16*0.302</f>
        <v>232.79682858639066</v>
      </c>
      <c r="G17" s="84">
        <f>('ТХ МКД'!B7+'ТХ МКД'!B28*0.5)*0.0018/1000</f>
        <v>1.0049580000000001E-2</v>
      </c>
      <c r="H17" s="84">
        <f>('ТХ МКД'!B7+'ТХ МКД'!B28*0.5)*0.02295/1000</f>
        <v>0.128132145</v>
      </c>
      <c r="I17" s="84">
        <f>('ТХ МКД'!B7+'ТХ МКД'!B28*0.5)*0.02295/1000</f>
        <v>0.128132145</v>
      </c>
    </row>
    <row r="18" spans="1:9" ht="14.25" customHeight="1" x14ac:dyDescent="0.25">
      <c r="A18" s="37" t="s">
        <v>38</v>
      </c>
      <c r="B18" s="35"/>
      <c r="C18" s="35"/>
      <c r="D18" s="35">
        <v>0</v>
      </c>
      <c r="E18" s="15"/>
      <c r="F18" s="22">
        <f>F15-F16-F17</f>
        <v>204.93232563085863</v>
      </c>
      <c r="G18" s="84">
        <f>G17*0.5079</f>
        <v>5.1041816820000009E-3</v>
      </c>
      <c r="H18" s="84">
        <f>H17*0.2671</f>
        <v>3.4224095929500001E-2</v>
      </c>
      <c r="I18" s="18"/>
    </row>
    <row r="19" spans="1:9" ht="14.25" customHeight="1" x14ac:dyDescent="0.25">
      <c r="A19" s="37" t="s">
        <v>0</v>
      </c>
      <c r="B19" s="35"/>
      <c r="C19" s="35"/>
      <c r="D19" s="35">
        <v>0</v>
      </c>
      <c r="E19" s="15"/>
      <c r="F19" s="22"/>
      <c r="G19" s="101">
        <f>G16*G18</f>
        <v>107.62167076497002</v>
      </c>
      <c r="H19" s="101">
        <f>H16*H18</f>
        <v>663.22875501778049</v>
      </c>
      <c r="I19" s="102">
        <f>I18/2</f>
        <v>0</v>
      </c>
    </row>
    <row r="20" spans="1:9" ht="49.5" customHeight="1" x14ac:dyDescent="0.25">
      <c r="A20" s="31" t="s">
        <v>5</v>
      </c>
      <c r="B20" s="35">
        <f>F20</f>
        <v>115.82856</v>
      </c>
      <c r="C20" s="35">
        <f>B20*12</f>
        <v>1389.94272</v>
      </c>
      <c r="D20" s="35">
        <f>SUM(D21:D24)</f>
        <v>0</v>
      </c>
      <c r="E20" s="15">
        <f>C20-D20</f>
        <v>1389.94272</v>
      </c>
      <c r="F20" s="22">
        <f>'тариф 20-19'!E8</f>
        <v>115.82856</v>
      </c>
      <c r="G20" s="107" t="s">
        <v>138</v>
      </c>
    </row>
    <row r="21" spans="1:9" ht="15.75" x14ac:dyDescent="0.25">
      <c r="A21" s="37" t="s">
        <v>36</v>
      </c>
      <c r="B21" s="35"/>
      <c r="C21" s="35"/>
      <c r="D21" s="35">
        <v>0</v>
      </c>
      <c r="E21" s="15"/>
      <c r="F21" s="22">
        <f>G24</f>
        <v>114.52386347207042</v>
      </c>
      <c r="G21" s="1">
        <v>19379</v>
      </c>
    </row>
    <row r="22" spans="1:9" ht="15.75" x14ac:dyDescent="0.25">
      <c r="A22" s="37" t="s">
        <v>37</v>
      </c>
      <c r="B22" s="35"/>
      <c r="C22" s="35"/>
      <c r="D22" s="35">
        <v>0</v>
      </c>
      <c r="E22" s="15"/>
      <c r="F22" s="22">
        <f>F21*0.302</f>
        <v>34.586206768565262</v>
      </c>
      <c r="G22" s="84">
        <f>('ТХ МКД'!B7+'ТХ МКД'!B28*0.5)*0.00888/1000</f>
        <v>4.9577928000000007E-2</v>
      </c>
    </row>
    <row r="23" spans="1:9" ht="15.75" x14ac:dyDescent="0.25">
      <c r="A23" s="37" t="s">
        <v>38</v>
      </c>
      <c r="B23" s="35"/>
      <c r="C23" s="35"/>
      <c r="D23" s="35">
        <v>0</v>
      </c>
      <c r="E23" s="15"/>
      <c r="F23" s="22">
        <f>F20-F21-F22</f>
        <v>-33.281510240635683</v>
      </c>
      <c r="G23" s="84">
        <f>G22*0.1192</f>
        <v>5.9096890176000005E-3</v>
      </c>
      <c r="H23" s="2"/>
    </row>
    <row r="24" spans="1:9" ht="15.75" x14ac:dyDescent="0.25">
      <c r="A24" s="37" t="s">
        <v>0</v>
      </c>
      <c r="B24" s="35"/>
      <c r="C24" s="35"/>
      <c r="D24" s="35">
        <v>0</v>
      </c>
      <c r="E24" s="15"/>
      <c r="F24" s="22"/>
      <c r="G24" s="101">
        <f>G21*G23</f>
        <v>114.52386347207042</v>
      </c>
    </row>
    <row r="25" spans="1:9" ht="15.75" x14ac:dyDescent="0.25">
      <c r="A25" s="31" t="s">
        <v>6</v>
      </c>
      <c r="B25" s="35">
        <f>F25</f>
        <v>472.96661999999998</v>
      </c>
      <c r="C25" s="35">
        <f>B25*12</f>
        <v>5675.59944</v>
      </c>
      <c r="D25" s="35">
        <f>SUM(D26:D29)</f>
        <v>0</v>
      </c>
      <c r="E25" s="15">
        <f>C25-D25</f>
        <v>5675.59944</v>
      </c>
      <c r="F25" s="22">
        <f>'тариф 20-19'!E9</f>
        <v>472.96661999999998</v>
      </c>
      <c r="G25" s="107" t="s">
        <v>139</v>
      </c>
    </row>
    <row r="26" spans="1:9" ht="15.75" x14ac:dyDescent="0.25">
      <c r="A26" s="37" t="s">
        <v>36</v>
      </c>
      <c r="B26" s="35"/>
      <c r="C26" s="35"/>
      <c r="D26" s="35">
        <v>0</v>
      </c>
      <c r="E26" s="15"/>
      <c r="F26" s="22">
        <f>G28</f>
        <v>340.03349952000002</v>
      </c>
      <c r="G26" s="1">
        <v>12188</v>
      </c>
    </row>
    <row r="27" spans="1:9" ht="15.75" x14ac:dyDescent="0.25">
      <c r="A27" s="37" t="s">
        <v>37</v>
      </c>
      <c r="B27" s="35"/>
      <c r="C27" s="35"/>
      <c r="D27" s="35">
        <v>0</v>
      </c>
      <c r="E27" s="15"/>
      <c r="F27" s="22">
        <f>F26*0.302</f>
        <v>102.69011685504</v>
      </c>
      <c r="G27" s="84">
        <f>'ТХ МКД'!B27*0.0263/1000</f>
        <v>2.789904E-2</v>
      </c>
    </row>
    <row r="28" spans="1:9" ht="15.75" x14ac:dyDescent="0.25">
      <c r="A28" s="37" t="s">
        <v>38</v>
      </c>
      <c r="B28" s="35"/>
      <c r="C28" s="35"/>
      <c r="D28" s="35">
        <v>0</v>
      </c>
      <c r="E28" s="15"/>
      <c r="F28" s="22">
        <f>F25-F26-F27</f>
        <v>30.243003624959954</v>
      </c>
      <c r="G28" s="101">
        <f>G26*G27</f>
        <v>340.03349952000002</v>
      </c>
      <c r="H28" s="2"/>
    </row>
    <row r="29" spans="1:9" ht="15.75" x14ac:dyDescent="0.25">
      <c r="A29" s="37" t="s">
        <v>0</v>
      </c>
      <c r="B29" s="35"/>
      <c r="C29" s="35"/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929.67659999999989</v>
      </c>
      <c r="C30" s="35">
        <f>B30*12</f>
        <v>11156.119199999999</v>
      </c>
      <c r="D30" s="35">
        <f>SUM(D31:D34)</f>
        <v>0</v>
      </c>
      <c r="E30" s="15">
        <f>C30-D30</f>
        <v>11156.119199999999</v>
      </c>
      <c r="F30" s="22">
        <f>'тариф 20-19'!C10</f>
        <v>929.67659999999989</v>
      </c>
      <c r="G30" s="107" t="s">
        <v>140</v>
      </c>
    </row>
    <row r="31" spans="1:9" ht="15.75" x14ac:dyDescent="0.25">
      <c r="A31" s="37" t="s">
        <v>36</v>
      </c>
      <c r="B31" s="35"/>
      <c r="C31" s="35"/>
      <c r="D31" s="35"/>
      <c r="E31" s="15"/>
      <c r="F31" s="22">
        <f>G34</f>
        <v>284.00555387220805</v>
      </c>
      <c r="G31" s="1">
        <v>19379</v>
      </c>
    </row>
    <row r="32" spans="1:9" ht="15.75" x14ac:dyDescent="0.25">
      <c r="A32" s="37" t="s">
        <v>37</v>
      </c>
      <c r="B32" s="35"/>
      <c r="C32" s="35"/>
      <c r="D32" s="35"/>
      <c r="E32" s="15"/>
      <c r="F32" s="22">
        <f>F31*0.302</f>
        <v>85.769677269406827</v>
      </c>
      <c r="G32" s="84">
        <f>'ТХ МКД'!B21/1000*0.0763</f>
        <v>9.4795120000000024E-2</v>
      </c>
    </row>
    <row r="33" spans="1:8" ht="15.75" customHeight="1" x14ac:dyDescent="0.25">
      <c r="A33" s="37" t="s">
        <v>83</v>
      </c>
      <c r="B33" s="35"/>
      <c r="C33" s="35"/>
      <c r="D33" s="35"/>
      <c r="E33" s="15"/>
      <c r="F33" s="22">
        <f>F30-F31-F32</f>
        <v>559.90136885838501</v>
      </c>
      <c r="G33" s="84">
        <f>G32*0.1546</f>
        <v>1.4655325552000003E-2</v>
      </c>
      <c r="H33" s="2"/>
    </row>
    <row r="34" spans="1:8" ht="15.75" x14ac:dyDescent="0.25">
      <c r="A34" s="37" t="s">
        <v>0</v>
      </c>
      <c r="B34" s="35"/>
      <c r="C34" s="35"/>
      <c r="D34" s="35"/>
      <c r="E34" s="15"/>
      <c r="F34" s="22"/>
      <c r="G34" s="101">
        <f>G31*G33</f>
        <v>284.00555387220805</v>
      </c>
    </row>
    <row r="35" spans="1:8" ht="31.5" x14ac:dyDescent="0.25">
      <c r="A35" s="29" t="s">
        <v>8</v>
      </c>
      <c r="B35" s="15">
        <f>B36+B41+B46+B51+B56+B58+B60+B62</f>
        <v>42809.321339999995</v>
      </c>
      <c r="C35" s="15">
        <f t="shared" ref="C35" si="1">C36+C41+C46+C51+C56+C58+C60+C62</f>
        <v>513711.85608</v>
      </c>
      <c r="D35" s="15">
        <f>D36+D41+D46+D51+D56+D58+D60+D62</f>
        <v>0</v>
      </c>
      <c r="E35" s="15">
        <f>C35-D35</f>
        <v>513711.85608</v>
      </c>
      <c r="F35" s="23">
        <f>'тариф 20-19'!E12</f>
        <v>42809.321339999995</v>
      </c>
      <c r="G35" s="103"/>
    </row>
    <row r="36" spans="1:8" ht="31.5" customHeight="1" x14ac:dyDescent="0.25">
      <c r="A36" s="31" t="s">
        <v>9</v>
      </c>
      <c r="B36" s="35">
        <f>F36</f>
        <v>4537.12662</v>
      </c>
      <c r="C36" s="35">
        <f>B36*12</f>
        <v>54445.519440000004</v>
      </c>
      <c r="D36" s="35">
        <f>SUM(D37:D40)</f>
        <v>0</v>
      </c>
      <c r="E36" s="15">
        <f>C36-D36</f>
        <v>54445.519440000004</v>
      </c>
      <c r="F36" s="22">
        <f>'тариф 20-19'!E13</f>
        <v>4537.12662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/>
      <c r="D37" s="35">
        <v>0</v>
      </c>
      <c r="E37" s="15"/>
      <c r="F37" s="22">
        <f>G40+H40</f>
        <v>2395.2554197951481</v>
      </c>
      <c r="G37" s="1">
        <v>22182</v>
      </c>
      <c r="H37" s="1">
        <v>22182</v>
      </c>
    </row>
    <row r="38" spans="1:8" ht="15.75" x14ac:dyDescent="0.25">
      <c r="A38" s="37" t="s">
        <v>37</v>
      </c>
      <c r="B38" s="35"/>
      <c r="C38" s="35"/>
      <c r="D38" s="35">
        <v>0</v>
      </c>
      <c r="E38" s="15"/>
      <c r="F38" s="22">
        <f>F37*0.302</f>
        <v>723.36713677813475</v>
      </c>
      <c r="G38" s="84">
        <f>'ТХ МКД'!B14/325</f>
        <v>0.29230769230769232</v>
      </c>
      <c r="H38" s="84">
        <f>('ТХ МКД'!B7+'ТХ МКД'!B28*0.5)*0.01631/1000</f>
        <v>9.106036100000002E-2</v>
      </c>
    </row>
    <row r="39" spans="1:8" ht="15.75" x14ac:dyDescent="0.25">
      <c r="A39" s="37" t="s">
        <v>38</v>
      </c>
      <c r="B39" s="35"/>
      <c r="C39" s="35"/>
      <c r="D39" s="35">
        <v>0</v>
      </c>
      <c r="E39" s="15"/>
      <c r="F39" s="22">
        <f>F36-F37-F38</f>
        <v>1418.504063426717</v>
      </c>
      <c r="G39" s="84">
        <f>G38*0.312746</f>
        <v>9.1418061538461548E-2</v>
      </c>
      <c r="H39" s="19">
        <f>H38*0.1819</f>
        <v>1.6563879665900005E-2</v>
      </c>
    </row>
    <row r="40" spans="1:8" ht="15.75" x14ac:dyDescent="0.25">
      <c r="A40" s="37" t="s">
        <v>0</v>
      </c>
      <c r="B40" s="35"/>
      <c r="C40" s="35"/>
      <c r="D40" s="35">
        <v>0</v>
      </c>
      <c r="E40" s="15"/>
      <c r="F40" s="22"/>
      <c r="G40" s="101">
        <f>G37*G39</f>
        <v>2027.8354410461541</v>
      </c>
      <c r="H40" s="101">
        <f>H37*H39</f>
        <v>367.41997874899391</v>
      </c>
    </row>
    <row r="41" spans="1:8" ht="18" customHeight="1" x14ac:dyDescent="0.25">
      <c r="A41" s="31" t="s">
        <v>10</v>
      </c>
      <c r="B41" s="35">
        <f>F41</f>
        <v>901.22748000000001</v>
      </c>
      <c r="C41" s="35">
        <f>B41*12</f>
        <v>10814.72976</v>
      </c>
      <c r="D41" s="35">
        <f>SUM(D42:D45)</f>
        <v>0</v>
      </c>
      <c r="E41" s="15">
        <f>C41-D41</f>
        <v>10814.72976</v>
      </c>
      <c r="F41" s="22">
        <f>'тариф 20-19'!E14</f>
        <v>901.22748000000001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/>
      <c r="D42" s="35">
        <v>0</v>
      </c>
      <c r="E42" s="15"/>
      <c r="F42" s="22">
        <f>G45</f>
        <v>992.97744044461535</v>
      </c>
      <c r="G42" s="1">
        <v>22182</v>
      </c>
      <c r="H42" s="1">
        <v>22182</v>
      </c>
    </row>
    <row r="43" spans="1:8" ht="15.75" x14ac:dyDescent="0.25">
      <c r="A43" s="37" t="s">
        <v>37</v>
      </c>
      <c r="B43" s="35"/>
      <c r="C43" s="35"/>
      <c r="D43" s="35">
        <v>0</v>
      </c>
      <c r="E43" s="15"/>
      <c r="F43" s="22">
        <f>F42*0.302</f>
        <v>299.87918701427384</v>
      </c>
      <c r="G43" s="84">
        <f>('ТХ МКД'!B7+'ТХ МКД'!B28*0.5)/39000</f>
        <v>0.14315641025641027</v>
      </c>
    </row>
    <row r="44" spans="1:8" ht="15.75" x14ac:dyDescent="0.25">
      <c r="A44" s="37" t="s">
        <v>38</v>
      </c>
      <c r="B44" s="35"/>
      <c r="C44" s="35"/>
      <c r="D44" s="35">
        <v>0</v>
      </c>
      <c r="E44" s="15"/>
      <c r="F44" s="22">
        <f>F41-F42-F43</f>
        <v>-391.62914745888918</v>
      </c>
      <c r="G44" s="84">
        <f>G43*0.3127</f>
        <v>4.4765009487179486E-2</v>
      </c>
    </row>
    <row r="45" spans="1:8" ht="15.75" x14ac:dyDescent="0.25">
      <c r="A45" s="37" t="s">
        <v>0</v>
      </c>
      <c r="B45" s="35"/>
      <c r="C45" s="35"/>
      <c r="D45" s="35">
        <v>0</v>
      </c>
      <c r="E45" s="15"/>
      <c r="F45" s="22"/>
      <c r="G45" s="101">
        <f>G42*G44</f>
        <v>992.97744044461535</v>
      </c>
    </row>
    <row r="46" spans="1:8" ht="17.25" customHeight="1" x14ac:dyDescent="0.25">
      <c r="A46" s="31" t="s">
        <v>11</v>
      </c>
      <c r="B46" s="35">
        <f>F46</f>
        <v>1281.2264399999999</v>
      </c>
      <c r="C46" s="35">
        <f>B46*12</f>
        <v>15374.717279999999</v>
      </c>
      <c r="D46" s="35">
        <f>SUM(D47:D50)</f>
        <v>0</v>
      </c>
      <c r="E46" s="15">
        <f>C46-D46</f>
        <v>15374.717279999999</v>
      </c>
      <c r="F46" s="22">
        <f>'тариф 20-19'!E15</f>
        <v>1281.2264399999999</v>
      </c>
      <c r="G46" s="107" t="s">
        <v>143</v>
      </c>
    </row>
    <row r="47" spans="1:8" ht="15.75" x14ac:dyDescent="0.25">
      <c r="A47" s="37" t="s">
        <v>36</v>
      </c>
      <c r="B47" s="35"/>
      <c r="C47" s="35"/>
      <c r="D47" s="35">
        <v>0</v>
      </c>
      <c r="E47" s="15"/>
      <c r="F47" s="22">
        <f>G49</f>
        <v>890.25555555555559</v>
      </c>
      <c r="G47" s="1">
        <v>21085</v>
      </c>
    </row>
    <row r="48" spans="1:8" ht="15.75" x14ac:dyDescent="0.25">
      <c r="A48" s="37" t="s">
        <v>37</v>
      </c>
      <c r="B48" s="35"/>
      <c r="C48" s="35"/>
      <c r="D48" s="35">
        <v>0</v>
      </c>
      <c r="E48" s="15"/>
      <c r="F48" s="22">
        <f>F47*0.302</f>
        <v>268.85717777777779</v>
      </c>
      <c r="G48" s="84">
        <f>'ТХ МКД'!B16/2250</f>
        <v>4.2222222222222223E-2</v>
      </c>
    </row>
    <row r="49" spans="1:7" ht="15.75" x14ac:dyDescent="0.25">
      <c r="A49" s="37" t="s">
        <v>38</v>
      </c>
      <c r="B49" s="35"/>
      <c r="C49" s="35"/>
      <c r="D49" s="35">
        <v>0</v>
      </c>
      <c r="E49" s="15"/>
      <c r="F49" s="22">
        <f>F46-F47-F48</f>
        <v>122.11370666666653</v>
      </c>
      <c r="G49" s="101">
        <f>G47*G48</f>
        <v>890.25555555555559</v>
      </c>
    </row>
    <row r="50" spans="1:7" ht="15.75" x14ac:dyDescent="0.25">
      <c r="A50" s="37" t="s">
        <v>0</v>
      </c>
      <c r="B50" s="35"/>
      <c r="C50" s="35"/>
      <c r="D50" s="35">
        <v>0</v>
      </c>
      <c r="E50" s="15"/>
      <c r="F50" s="22"/>
    </row>
    <row r="51" spans="1:7" ht="18.75" customHeight="1" x14ac:dyDescent="0.25">
      <c r="A51" s="32" t="s">
        <v>12</v>
      </c>
      <c r="B51" s="35">
        <f>F51</f>
        <v>341.89745999999997</v>
      </c>
      <c r="C51" s="35">
        <f>B51*12</f>
        <v>4102.7695199999998</v>
      </c>
      <c r="D51" s="35">
        <f>SUM(D52:D55)</f>
        <v>0</v>
      </c>
      <c r="E51" s="15">
        <f>C51-D51</f>
        <v>4102.7695199999998</v>
      </c>
      <c r="F51" s="22">
        <f>'тариф 20-19'!E16</f>
        <v>341.89745999999997</v>
      </c>
      <c r="G51" s="107" t="s">
        <v>144</v>
      </c>
    </row>
    <row r="52" spans="1:7" ht="15.75" x14ac:dyDescent="0.25">
      <c r="A52" s="37" t="s">
        <v>74</v>
      </c>
      <c r="B52" s="35"/>
      <c r="C52" s="35"/>
      <c r="D52" s="35"/>
      <c r="E52" s="15"/>
      <c r="F52" s="22">
        <f>G55</f>
        <v>492.75644999999997</v>
      </c>
      <c r="G52" s="1">
        <v>21085</v>
      </c>
    </row>
    <row r="53" spans="1:7" ht="15.75" x14ac:dyDescent="0.25">
      <c r="A53" s="37" t="s">
        <v>37</v>
      </c>
      <c r="B53" s="35"/>
      <c r="C53" s="35"/>
      <c r="D53" s="35"/>
      <c r="E53" s="15"/>
      <c r="F53" s="22">
        <f>F52*0.302</f>
        <v>148.8124479</v>
      </c>
      <c r="G53" s="1">
        <f>'ТХ МКД'!B12/1250</f>
        <v>7.5999999999999998E-2</v>
      </c>
    </row>
    <row r="54" spans="1:7" ht="15.75" x14ac:dyDescent="0.25">
      <c r="A54" s="37" t="s">
        <v>38</v>
      </c>
      <c r="B54" s="35"/>
      <c r="C54" s="35"/>
      <c r="D54" s="35"/>
      <c r="E54" s="15"/>
      <c r="F54" s="22">
        <f>F51-F52-F53</f>
        <v>-299.6714379</v>
      </c>
      <c r="G54" s="84">
        <f>G53*0.3075</f>
        <v>2.3369999999999998E-2</v>
      </c>
    </row>
    <row r="55" spans="1:7" ht="15.75" x14ac:dyDescent="0.25">
      <c r="A55" s="37" t="s">
        <v>0</v>
      </c>
      <c r="B55" s="35"/>
      <c r="C55" s="35"/>
      <c r="D55" s="35"/>
      <c r="E55" s="15"/>
      <c r="F55" s="22"/>
      <c r="G55" s="101">
        <f>G52*G54</f>
        <v>492.75644999999997</v>
      </c>
    </row>
    <row r="56" spans="1:7" ht="31.5" x14ac:dyDescent="0.25">
      <c r="A56" s="31" t="s">
        <v>13</v>
      </c>
      <c r="B56" s="35">
        <f>B57</f>
        <v>25981.15884</v>
      </c>
      <c r="C56" s="35">
        <f t="shared" ref="C56:C71" si="2">B56*12</f>
        <v>311773.90607999999</v>
      </c>
      <c r="D56" s="35">
        <f>D57</f>
        <v>0</v>
      </c>
      <c r="E56" s="15">
        <f>C56-D56</f>
        <v>311773.90607999999</v>
      </c>
      <c r="F56" s="22">
        <f>'тариф 20-19'!E17</f>
        <v>25981.15884</v>
      </c>
    </row>
    <row r="57" spans="1:7" ht="15.75" x14ac:dyDescent="0.25">
      <c r="A57" s="38" t="s">
        <v>84</v>
      </c>
      <c r="B57" s="35">
        <f>F56</f>
        <v>25981.15884</v>
      </c>
      <c r="C57" s="35">
        <f>B57*12</f>
        <v>311773.90607999999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7423.6962599999997</v>
      </c>
      <c r="C58" s="35">
        <f t="shared" si="2"/>
        <v>89084.355119999993</v>
      </c>
      <c r="D58" s="35">
        <f>D59</f>
        <v>0</v>
      </c>
      <c r="E58" s="15">
        <f>C58-D58</f>
        <v>89084.355119999993</v>
      </c>
      <c r="F58" s="22">
        <f>'тариф 20-19'!E18+'тариф 20-19'!E19</f>
        <v>7423.6962599999997</v>
      </c>
    </row>
    <row r="59" spans="1:7" ht="15.75" customHeight="1" x14ac:dyDescent="0.25">
      <c r="A59" s="38" t="s">
        <v>93</v>
      </c>
      <c r="B59" s="35">
        <f>F58</f>
        <v>7423.6962599999997</v>
      </c>
      <c r="C59" s="35"/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2"/>
        <v>0</v>
      </c>
      <c r="D60" s="35"/>
      <c r="E60" s="15" t="e">
        <f>#REF!-D60</f>
        <v>#REF!</v>
      </c>
      <c r="F60" s="22"/>
    </row>
    <row r="61" spans="1:7" ht="31.5" hidden="1" x14ac:dyDescent="0.25">
      <c r="A61" s="38" t="s">
        <v>41</v>
      </c>
      <c r="B61" s="35"/>
      <c r="C61" s="35">
        <f t="shared" si="2"/>
        <v>0</v>
      </c>
      <c r="D61" s="35"/>
      <c r="E61" s="15" t="e">
        <f>#REF!-D61</f>
        <v>#REF!</v>
      </c>
      <c r="F61" s="22"/>
    </row>
    <row r="62" spans="1:7" ht="18" customHeight="1" x14ac:dyDescent="0.25">
      <c r="A62" s="32" t="s">
        <v>16</v>
      </c>
      <c r="B62" s="35">
        <f>B63</f>
        <v>2342.9882400000001</v>
      </c>
      <c r="C62" s="35">
        <f t="shared" si="2"/>
        <v>28115.85888</v>
      </c>
      <c r="D62" s="35">
        <f>D63</f>
        <v>0</v>
      </c>
      <c r="E62" s="15">
        <f>C62-D62</f>
        <v>28115.85888</v>
      </c>
      <c r="F62" s="22">
        <f>'тариф 20-19'!E20</f>
        <v>2342.9882400000001</v>
      </c>
    </row>
    <row r="63" spans="1:7" ht="18" customHeight="1" x14ac:dyDescent="0.25">
      <c r="A63" s="39" t="s">
        <v>40</v>
      </c>
      <c r="B63" s="35">
        <f>F62</f>
        <v>2342.9882400000001</v>
      </c>
      <c r="C63" s="35"/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21596.946240000001</v>
      </c>
      <c r="C64" s="16">
        <f t="shared" ref="C64:D64" si="3">C65+C66+C71+C72+C77+C79</f>
        <v>259163.35488</v>
      </c>
      <c r="D64" s="16">
        <f t="shared" si="3"/>
        <v>0</v>
      </c>
      <c r="E64" s="15">
        <f>C64-D64</f>
        <v>259163.35488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ref="E65:E66" si="4">C65-D65</f>
        <v>0</v>
      </c>
      <c r="F65" s="22"/>
    </row>
    <row r="66" spans="1:7" ht="17.25" customHeight="1" x14ac:dyDescent="0.25">
      <c r="A66" s="31" t="s">
        <v>19</v>
      </c>
      <c r="B66" s="35">
        <f>SUM(B67:B70)</f>
        <v>6656.5860599999996</v>
      </c>
      <c r="C66" s="35">
        <f>B66*12</f>
        <v>79879.032719999988</v>
      </c>
      <c r="D66" s="35">
        <f>SUM(D67:D70)</f>
        <v>0</v>
      </c>
      <c r="E66" s="15">
        <f t="shared" si="4"/>
        <v>79879.032719999988</v>
      </c>
      <c r="F66" s="22">
        <f>'тариф 20-19'!E23</f>
        <v>6656.5860599999996</v>
      </c>
      <c r="G66" s="107" t="s">
        <v>145</v>
      </c>
    </row>
    <row r="67" spans="1:7" ht="15.75" x14ac:dyDescent="0.25">
      <c r="A67" s="37" t="s">
        <v>147</v>
      </c>
      <c r="B67" s="35">
        <f>F67</f>
        <v>4716.6399238095246</v>
      </c>
      <c r="C67" s="35">
        <f t="shared" ref="C67:C69" si="5">B67*12</f>
        <v>56599.679085714291</v>
      </c>
      <c r="D67" s="35"/>
      <c r="E67" s="15"/>
      <c r="F67" s="22">
        <f>G69</f>
        <v>4716.6399238095246</v>
      </c>
      <c r="G67" s="1">
        <v>12188</v>
      </c>
    </row>
    <row r="68" spans="1:7" ht="15.75" x14ac:dyDescent="0.25">
      <c r="A68" s="37" t="s">
        <v>37</v>
      </c>
      <c r="B68" s="35">
        <f>F68</f>
        <v>1424.4252569904763</v>
      </c>
      <c r="C68" s="35">
        <f t="shared" si="5"/>
        <v>17093.103083885715</v>
      </c>
      <c r="D68" s="35"/>
      <c r="E68" s="15"/>
      <c r="F68" s="22">
        <f>F67*0.302</f>
        <v>1424.4252569904763</v>
      </c>
      <c r="G68" s="105">
        <f>'ТХ МКД'!B30/5250</f>
        <v>0.38699047619047622</v>
      </c>
    </row>
    <row r="69" spans="1:7" ht="15.75" x14ac:dyDescent="0.25">
      <c r="A69" s="37" t="s">
        <v>38</v>
      </c>
      <c r="B69" s="35">
        <f>F69</f>
        <v>515.52087919999872</v>
      </c>
      <c r="C69" s="35">
        <f t="shared" si="5"/>
        <v>6186.2505503999846</v>
      </c>
      <c r="D69" s="35"/>
      <c r="E69" s="15"/>
      <c r="F69" s="22">
        <f>F66-F67-F68</f>
        <v>515.52087919999872</v>
      </c>
      <c r="G69" s="101">
        <f>G67*G68</f>
        <v>4716.6399238095246</v>
      </c>
    </row>
    <row r="70" spans="1:7" ht="15.75" x14ac:dyDescent="0.25">
      <c r="A70" s="37" t="s">
        <v>0</v>
      </c>
      <c r="B70" s="35"/>
      <c r="C70" s="35"/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6663.1903200000015</v>
      </c>
      <c r="C72" s="35">
        <f>B72*12</f>
        <v>79958.283840000018</v>
      </c>
      <c r="D72" s="35">
        <f>SUM(D73:D76)</f>
        <v>0</v>
      </c>
      <c r="E72" s="15">
        <f>C72-D72</f>
        <v>79958.283840000018</v>
      </c>
      <c r="F72" s="22">
        <f>'тариф 20-19'!E25</f>
        <v>6663.1903200000006</v>
      </c>
      <c r="G72" s="1" t="s">
        <v>146</v>
      </c>
    </row>
    <row r="73" spans="1:7" ht="18" customHeight="1" x14ac:dyDescent="0.25">
      <c r="A73" s="37" t="s">
        <v>148</v>
      </c>
      <c r="B73" s="35">
        <f>F73</f>
        <v>4920.3407407407412</v>
      </c>
      <c r="C73" s="35">
        <f t="shared" ref="C73:C75" si="6">B73*12</f>
        <v>59044.088888888895</v>
      </c>
      <c r="D73" s="35"/>
      <c r="E73" s="15"/>
      <c r="F73" s="22">
        <f>G75</f>
        <v>4920.3407407407412</v>
      </c>
      <c r="G73" s="1">
        <v>12188</v>
      </c>
    </row>
    <row r="74" spans="1:7" ht="15.75" x14ac:dyDescent="0.25">
      <c r="A74" s="37" t="s">
        <v>37</v>
      </c>
      <c r="B74" s="35">
        <f>B73*0.302</f>
        <v>1485.9429037037039</v>
      </c>
      <c r="C74" s="35">
        <f t="shared" si="6"/>
        <v>17831.314844444445</v>
      </c>
      <c r="D74" s="35"/>
      <c r="E74" s="15"/>
      <c r="F74" s="22">
        <f>F73*0.302</f>
        <v>1485.9429037037039</v>
      </c>
      <c r="G74" s="84">
        <f>'ТХ МКД'!B18/540</f>
        <v>0.40370370370370373</v>
      </c>
    </row>
    <row r="75" spans="1:7" ht="15.75" x14ac:dyDescent="0.25">
      <c r="A75" s="37" t="s">
        <v>38</v>
      </c>
      <c r="B75" s="35">
        <f>F72-B74-B73</f>
        <v>256.90667555555592</v>
      </c>
      <c r="C75" s="35">
        <f t="shared" si="6"/>
        <v>3082.8801066666711</v>
      </c>
      <c r="D75" s="35"/>
      <c r="E75" s="15"/>
      <c r="F75" s="22">
        <f>F72-F73-F74</f>
        <v>256.90667555555547</v>
      </c>
      <c r="G75" s="101">
        <f>G73*G74</f>
        <v>4920.3407407407412</v>
      </c>
    </row>
    <row r="76" spans="1:7" ht="15.75" x14ac:dyDescent="0.25">
      <c r="A76" s="37" t="s">
        <v>0</v>
      </c>
      <c r="B76" s="35"/>
      <c r="C76" s="35"/>
      <c r="D76" s="35"/>
      <c r="E76" s="15"/>
      <c r="F76" s="22"/>
    </row>
    <row r="77" spans="1:7" ht="32.25" customHeight="1" x14ac:dyDescent="0.25">
      <c r="A77" s="31" t="s">
        <v>22</v>
      </c>
      <c r="B77" s="35">
        <f>B78</f>
        <v>1876.6258800000001</v>
      </c>
      <c r="C77" s="35">
        <f t="shared" ref="C77:C85" si="7">B77*12</f>
        <v>22519.510560000002</v>
      </c>
      <c r="D77" s="35">
        <f>D78</f>
        <v>0</v>
      </c>
      <c r="E77" s="15">
        <f>C77-D77</f>
        <v>22519.510560000002</v>
      </c>
      <c r="F77" s="22">
        <f>'тариф 20-19'!E26</f>
        <v>1876.6258800000001</v>
      </c>
    </row>
    <row r="78" spans="1:7" ht="18" customHeight="1" x14ac:dyDescent="0.25">
      <c r="A78" s="38" t="s">
        <v>40</v>
      </c>
      <c r="B78" s="35">
        <f>F77</f>
        <v>1876.6258800000001</v>
      </c>
      <c r="C78" s="35">
        <f t="shared" si="7"/>
        <v>22519.510560000002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6400.5439799999995</v>
      </c>
      <c r="C79" s="35">
        <f t="shared" si="7"/>
        <v>76806.527759999997</v>
      </c>
      <c r="D79" s="35">
        <f>SUM(D80:D83)</f>
        <v>0</v>
      </c>
      <c r="E79" s="15">
        <f>C79-D79</f>
        <v>76806.527759999997</v>
      </c>
      <c r="F79" s="22">
        <f>'тариф 20-19'!E27</f>
        <v>6400.5439799999995</v>
      </c>
    </row>
    <row r="80" spans="1:7" ht="15.75" x14ac:dyDescent="0.25">
      <c r="A80" s="37" t="s">
        <v>36</v>
      </c>
      <c r="B80" s="35"/>
      <c r="C80" s="35"/>
      <c r="D80" s="35"/>
      <c r="E80" s="15"/>
      <c r="F80" s="22"/>
    </row>
    <row r="81" spans="1:6" ht="15.75" x14ac:dyDescent="0.25">
      <c r="A81" s="37" t="s">
        <v>37</v>
      </c>
      <c r="B81" s="35"/>
      <c r="C81" s="35"/>
      <c r="D81" s="35"/>
      <c r="E81" s="15"/>
      <c r="F81" s="22"/>
    </row>
    <row r="82" spans="1:6" ht="15.75" x14ac:dyDescent="0.25">
      <c r="A82" s="37" t="s">
        <v>38</v>
      </c>
      <c r="B82" s="35"/>
      <c r="C82" s="35"/>
      <c r="D82" s="35"/>
      <c r="E82" s="15"/>
      <c r="F82" s="22"/>
    </row>
    <row r="83" spans="1:6" ht="15.75" x14ac:dyDescent="0.25">
      <c r="A83" s="37" t="s">
        <v>0</v>
      </c>
      <c r="B83" s="35"/>
      <c r="C83" s="35"/>
      <c r="D83" s="35"/>
      <c r="E83" s="15"/>
      <c r="F83" s="22"/>
    </row>
    <row r="84" spans="1:6" ht="15.75" hidden="1" x14ac:dyDescent="0.25">
      <c r="A84" s="29" t="s">
        <v>24</v>
      </c>
      <c r="B84" s="15"/>
      <c r="C84" s="15">
        <f t="shared" si="7"/>
        <v>0</v>
      </c>
      <c r="D84" s="15"/>
      <c r="E84" s="15" t="e">
        <f>#REF!-D84</f>
        <v>#REF!</v>
      </c>
      <c r="F84" s="22"/>
    </row>
    <row r="85" spans="1:6" ht="31.5" x14ac:dyDescent="0.25">
      <c r="A85" s="29" t="s">
        <v>80</v>
      </c>
      <c r="B85" s="15">
        <f>'тариф 20-19'!C28+'тариф 20-19'!C29</f>
        <v>22684.109039999999</v>
      </c>
      <c r="C85" s="15">
        <f t="shared" si="7"/>
        <v>272209.30848000001</v>
      </c>
      <c r="D85" s="15">
        <f>D86+D97</f>
        <v>241234.31304000004</v>
      </c>
      <c r="E85" s="15">
        <f>C85-D85</f>
        <v>30974.99543999997</v>
      </c>
      <c r="F85" s="82">
        <f>'тариф 20-19'!E28+'тариф 20-19'!E29</f>
        <v>22684.109039999999</v>
      </c>
    </row>
    <row r="86" spans="1:6" ht="17.25" customHeight="1" x14ac:dyDescent="0.25">
      <c r="A86" s="69" t="s">
        <v>70</v>
      </c>
      <c r="B86" s="15"/>
      <c r="C86" s="15"/>
      <c r="D86" s="15">
        <f>SUM(D87:D96)</f>
        <v>131441.03064000001</v>
      </c>
      <c r="E86" s="15"/>
      <c r="F86" s="22"/>
    </row>
    <row r="87" spans="1:6" ht="25.5" x14ac:dyDescent="0.25">
      <c r="A87" s="70" t="s">
        <v>87</v>
      </c>
      <c r="B87" s="15"/>
      <c r="C87" s="15"/>
      <c r="D87" s="35">
        <f>F87*$D$119*12</f>
        <v>88688.099520000003</v>
      </c>
      <c r="E87" s="15"/>
      <c r="F87" s="50">
        <v>1.4548000000000001</v>
      </c>
    </row>
    <row r="88" spans="1:6" ht="15.75" x14ac:dyDescent="0.25">
      <c r="A88" s="70" t="s">
        <v>37</v>
      </c>
      <c r="B88" s="15"/>
      <c r="C88" s="15"/>
      <c r="D88" s="35">
        <f t="shared" ref="D88:D96" si="8">F88*$D$119*12</f>
        <v>25720.036559999997</v>
      </c>
      <c r="E88" s="15"/>
      <c r="F88" s="50">
        <v>0.4219</v>
      </c>
    </row>
    <row r="89" spans="1:6" ht="15.75" x14ac:dyDescent="0.25">
      <c r="A89" s="70" t="s">
        <v>50</v>
      </c>
      <c r="B89" s="15"/>
      <c r="C89" s="15"/>
      <c r="D89" s="35">
        <f t="shared" si="8"/>
        <v>414.54431999999997</v>
      </c>
      <c r="E89" s="15"/>
      <c r="F89" s="50">
        <v>6.7999999999999996E-3</v>
      </c>
    </row>
    <row r="90" spans="1:6" ht="15.75" x14ac:dyDescent="0.25">
      <c r="A90" s="70" t="s">
        <v>51</v>
      </c>
      <c r="B90" s="15"/>
      <c r="C90" s="15"/>
      <c r="D90" s="35">
        <f t="shared" si="8"/>
        <v>438.92927999999995</v>
      </c>
      <c r="E90" s="15"/>
      <c r="F90" s="50">
        <v>7.1999999999999998E-3</v>
      </c>
    </row>
    <row r="91" spans="1:6" ht="25.5" x14ac:dyDescent="0.25">
      <c r="A91" s="70" t="s">
        <v>88</v>
      </c>
      <c r="B91" s="15"/>
      <c r="C91" s="15"/>
      <c r="D91" s="35">
        <f t="shared" si="8"/>
        <v>390.15935999999999</v>
      </c>
      <c r="E91" s="15"/>
      <c r="F91" s="50">
        <v>6.4000000000000003E-3</v>
      </c>
    </row>
    <row r="92" spans="1:6" ht="15.75" x14ac:dyDescent="0.25">
      <c r="A92" s="70" t="s">
        <v>52</v>
      </c>
      <c r="B92" s="15"/>
      <c r="C92" s="15"/>
      <c r="D92" s="35">
        <f t="shared" si="8"/>
        <v>384.06312000000003</v>
      </c>
      <c r="E92" s="15"/>
      <c r="F92" s="50">
        <v>6.3E-3</v>
      </c>
    </row>
    <row r="93" spans="1:6" ht="25.5" x14ac:dyDescent="0.25">
      <c r="A93" s="70" t="s">
        <v>89</v>
      </c>
      <c r="B93" s="15"/>
      <c r="C93" s="15"/>
      <c r="D93" s="35">
        <f t="shared" si="8"/>
        <v>487.69919999999996</v>
      </c>
      <c r="E93" s="15"/>
      <c r="F93" s="50">
        <v>8.0000000000000002E-3</v>
      </c>
    </row>
    <row r="94" spans="1:6" ht="15.75" x14ac:dyDescent="0.25">
      <c r="A94" s="70" t="s">
        <v>53</v>
      </c>
      <c r="B94" s="15"/>
      <c r="C94" s="15"/>
      <c r="D94" s="35">
        <f t="shared" si="8"/>
        <v>1621.5998399999999</v>
      </c>
      <c r="E94" s="15"/>
      <c r="F94" s="50">
        <v>2.6599999999999999E-2</v>
      </c>
    </row>
    <row r="95" spans="1:6" ht="15.75" x14ac:dyDescent="0.25">
      <c r="A95" s="70" t="s">
        <v>54</v>
      </c>
      <c r="B95" s="15"/>
      <c r="C95" s="15"/>
      <c r="D95" s="35">
        <f t="shared" si="8"/>
        <v>4297.8491999999997</v>
      </c>
      <c r="E95" s="15"/>
      <c r="F95" s="50">
        <v>7.0499999999999993E-2</v>
      </c>
    </row>
    <row r="96" spans="1:6" ht="15.75" x14ac:dyDescent="0.25">
      <c r="A96" s="70" t="s">
        <v>0</v>
      </c>
      <c r="B96" s="15"/>
      <c r="C96" s="15"/>
      <c r="D96" s="35">
        <f t="shared" si="8"/>
        <v>8998.0502400000005</v>
      </c>
      <c r="E96" s="15"/>
      <c r="F96" s="50">
        <v>0.14760000000000001</v>
      </c>
    </row>
    <row r="97" spans="1:6" ht="17.25" customHeight="1" x14ac:dyDescent="0.25">
      <c r="A97" s="69" t="s">
        <v>71</v>
      </c>
      <c r="B97" s="15"/>
      <c r="C97" s="15"/>
      <c r="D97" s="15">
        <f>D98+D99+D100+D109+D113+D116+D117</f>
        <v>109793.28240000001</v>
      </c>
      <c r="E97" s="15"/>
      <c r="F97" s="22"/>
    </row>
    <row r="98" spans="1:6" ht="30" x14ac:dyDescent="0.25">
      <c r="A98" s="71" t="s">
        <v>86</v>
      </c>
      <c r="B98" s="15"/>
      <c r="C98" s="15"/>
      <c r="D98" s="35">
        <f>F98*$D$119*12</f>
        <v>66918.426479999995</v>
      </c>
      <c r="E98" s="15"/>
      <c r="F98" s="50">
        <v>1.0976999999999999</v>
      </c>
    </row>
    <row r="99" spans="1:6" ht="15.75" x14ac:dyDescent="0.25">
      <c r="A99" s="71" t="s">
        <v>37</v>
      </c>
      <c r="B99" s="15"/>
      <c r="C99" s="15"/>
      <c r="D99" s="35">
        <f t="shared" ref="D99:D117" si="9">F99*$D$119*12</f>
        <v>19532.35296</v>
      </c>
      <c r="E99" s="15"/>
      <c r="F99" s="50">
        <v>0.32040000000000002</v>
      </c>
    </row>
    <row r="100" spans="1:6" ht="30" x14ac:dyDescent="0.25">
      <c r="A100" s="71" t="s">
        <v>55</v>
      </c>
      <c r="B100" s="15"/>
      <c r="C100" s="15"/>
      <c r="D100" s="35">
        <f t="shared" si="9"/>
        <v>7943.4007199999996</v>
      </c>
      <c r="E100" s="15"/>
      <c r="F100" s="50">
        <v>0.1303</v>
      </c>
    </row>
    <row r="101" spans="1:6" ht="15.75" x14ac:dyDescent="0.25">
      <c r="A101" s="72" t="s">
        <v>56</v>
      </c>
      <c r="B101" s="15"/>
      <c r="C101" s="15"/>
      <c r="D101" s="35">
        <f t="shared" si="9"/>
        <v>1408.2314399999998</v>
      </c>
      <c r="E101" s="15"/>
      <c r="F101" s="50">
        <v>2.3099999999999999E-2</v>
      </c>
    </row>
    <row r="102" spans="1:6" ht="15.75" x14ac:dyDescent="0.25">
      <c r="A102" s="72" t="s">
        <v>57</v>
      </c>
      <c r="B102" s="15"/>
      <c r="C102" s="15"/>
      <c r="D102" s="35">
        <f t="shared" si="9"/>
        <v>60.962399999999995</v>
      </c>
      <c r="E102" s="15"/>
      <c r="F102" s="50">
        <v>1E-3</v>
      </c>
    </row>
    <row r="103" spans="1:6" ht="15.75" x14ac:dyDescent="0.25">
      <c r="A103" s="72" t="s">
        <v>58</v>
      </c>
      <c r="B103" s="15"/>
      <c r="C103" s="15"/>
      <c r="D103" s="35">
        <f t="shared" si="9"/>
        <v>1328.9803199999999</v>
      </c>
      <c r="E103" s="15"/>
      <c r="F103" s="50">
        <v>2.18E-2</v>
      </c>
    </row>
    <row r="104" spans="1:6" ht="15.75" x14ac:dyDescent="0.25">
      <c r="A104" s="72" t="s">
        <v>90</v>
      </c>
      <c r="B104" s="15"/>
      <c r="C104" s="15"/>
      <c r="D104" s="35">
        <f t="shared" si="9"/>
        <v>134.11727999999999</v>
      </c>
      <c r="E104" s="15"/>
      <c r="F104" s="50">
        <v>2.2000000000000001E-3</v>
      </c>
    </row>
    <row r="105" spans="1:6" ht="15.75" x14ac:dyDescent="0.25">
      <c r="A105" s="72" t="s">
        <v>59</v>
      </c>
      <c r="B105" s="15"/>
      <c r="C105" s="15"/>
      <c r="D105" s="35">
        <f t="shared" si="9"/>
        <v>0</v>
      </c>
      <c r="E105" s="15"/>
      <c r="F105" s="50">
        <v>0</v>
      </c>
    </row>
    <row r="106" spans="1:6" ht="15.75" x14ac:dyDescent="0.25">
      <c r="A106" s="72" t="s">
        <v>60</v>
      </c>
      <c r="B106" s="15"/>
      <c r="C106" s="15"/>
      <c r="D106" s="35">
        <f t="shared" si="9"/>
        <v>1231.4404799999998</v>
      </c>
      <c r="E106" s="15"/>
      <c r="F106" s="50">
        <v>2.0199999999999999E-2</v>
      </c>
    </row>
    <row r="107" spans="1:6" ht="15.75" x14ac:dyDescent="0.25">
      <c r="A107" s="72" t="s">
        <v>91</v>
      </c>
      <c r="B107" s="15"/>
      <c r="C107" s="15"/>
      <c r="D107" s="35">
        <f t="shared" si="9"/>
        <v>3718.7064</v>
      </c>
      <c r="E107" s="15"/>
      <c r="F107" s="50">
        <v>6.0999999999999999E-2</v>
      </c>
    </row>
    <row r="108" spans="1:6" ht="15.75" x14ac:dyDescent="0.25">
      <c r="A108" s="83" t="s">
        <v>62</v>
      </c>
      <c r="B108" s="15"/>
      <c r="C108" s="15"/>
      <c r="D108" s="35">
        <f t="shared" si="9"/>
        <v>67.058639999999997</v>
      </c>
      <c r="E108" s="15"/>
      <c r="F108" s="50">
        <v>1.1000000000000001E-3</v>
      </c>
    </row>
    <row r="109" spans="1:6" ht="15.75" x14ac:dyDescent="0.25">
      <c r="A109" s="73" t="s">
        <v>63</v>
      </c>
      <c r="B109" s="15"/>
      <c r="C109" s="15"/>
      <c r="D109" s="35">
        <f t="shared" si="9"/>
        <v>3322.4508000000001</v>
      </c>
      <c r="E109" s="15"/>
      <c r="F109" s="50">
        <v>5.45E-2</v>
      </c>
    </row>
    <row r="110" spans="1:6" ht="15.75" x14ac:dyDescent="0.25">
      <c r="A110" s="72" t="s">
        <v>64</v>
      </c>
      <c r="B110" s="15"/>
      <c r="C110" s="15"/>
      <c r="D110" s="35">
        <f t="shared" si="9"/>
        <v>359.67815999999999</v>
      </c>
      <c r="E110" s="15"/>
      <c r="F110" s="50">
        <v>5.8999999999999999E-3</v>
      </c>
    </row>
    <row r="111" spans="1:6" ht="15.75" x14ac:dyDescent="0.25">
      <c r="A111" s="72" t="s">
        <v>65</v>
      </c>
      <c r="B111" s="15"/>
      <c r="C111" s="15"/>
      <c r="D111" s="35">
        <f t="shared" si="9"/>
        <v>1725.2359199999999</v>
      </c>
      <c r="E111" s="15"/>
      <c r="F111" s="50">
        <v>2.8299999999999999E-2</v>
      </c>
    </row>
    <row r="112" spans="1:6" ht="15.75" x14ac:dyDescent="0.25">
      <c r="A112" s="72" t="s">
        <v>78</v>
      </c>
      <c r="B112" s="15"/>
      <c r="C112" s="15"/>
      <c r="D112" s="35">
        <f t="shared" si="9"/>
        <v>1237.5367199999998</v>
      </c>
      <c r="E112" s="15"/>
      <c r="F112" s="50">
        <v>2.0299999999999999E-2</v>
      </c>
    </row>
    <row r="113" spans="1:7" ht="15.75" x14ac:dyDescent="0.25">
      <c r="A113" s="73" t="s">
        <v>66</v>
      </c>
      <c r="B113" s="15"/>
      <c r="C113" s="15"/>
      <c r="D113" s="35">
        <f t="shared" si="9"/>
        <v>0</v>
      </c>
      <c r="E113" s="15"/>
      <c r="F113" s="50">
        <v>0</v>
      </c>
    </row>
    <row r="114" spans="1:7" ht="15.75" x14ac:dyDescent="0.25">
      <c r="A114" s="72" t="s">
        <v>67</v>
      </c>
      <c r="B114" s="15"/>
      <c r="C114" s="15"/>
      <c r="D114" s="35">
        <f t="shared" si="9"/>
        <v>0</v>
      </c>
      <c r="E114" s="15"/>
      <c r="F114" s="50">
        <v>0</v>
      </c>
    </row>
    <row r="115" spans="1:7" ht="25.5" x14ac:dyDescent="0.25">
      <c r="A115" s="72" t="s">
        <v>79</v>
      </c>
      <c r="B115" s="15"/>
      <c r="C115" s="15"/>
      <c r="D115" s="35">
        <f t="shared" si="9"/>
        <v>0</v>
      </c>
      <c r="E115" s="15"/>
      <c r="F115" s="50">
        <v>0</v>
      </c>
    </row>
    <row r="116" spans="1:7" ht="15.75" x14ac:dyDescent="0.25">
      <c r="A116" s="73" t="s">
        <v>68</v>
      </c>
      <c r="B116" s="15"/>
      <c r="C116" s="15"/>
      <c r="D116" s="35">
        <f t="shared" si="9"/>
        <v>7492.2789599999996</v>
      </c>
      <c r="E116" s="15"/>
      <c r="F116" s="50">
        <v>0.1229</v>
      </c>
    </row>
    <row r="117" spans="1:7" ht="16.5" customHeight="1" x14ac:dyDescent="0.25">
      <c r="A117" s="73" t="s">
        <v>69</v>
      </c>
      <c r="B117" s="15"/>
      <c r="C117" s="15"/>
      <c r="D117" s="35">
        <f t="shared" si="9"/>
        <v>4584.37248</v>
      </c>
      <c r="E117" s="15"/>
      <c r="F117" s="50">
        <v>7.5200000000000003E-2</v>
      </c>
    </row>
    <row r="118" spans="1:7" ht="18" customHeight="1" x14ac:dyDescent="0.25">
      <c r="A118" s="33" t="s">
        <v>35</v>
      </c>
      <c r="B118" s="17">
        <f>B85+B84+B64+B35+B9</f>
        <v>90065.341739999989</v>
      </c>
      <c r="C118" s="17">
        <f>C85+C84+C64+C35+C9</f>
        <v>1080784.10088</v>
      </c>
      <c r="D118" s="17">
        <f>D85+D84+D64+D35+D9</f>
        <v>241234.31304000004</v>
      </c>
      <c r="E118" s="15">
        <f>C118-D118</f>
        <v>839549.78784</v>
      </c>
      <c r="F118" s="52"/>
      <c r="G118" s="17">
        <v>30151.506310000001</v>
      </c>
    </row>
    <row r="119" spans="1:7" ht="16.5" customHeight="1" x14ac:dyDescent="0.25">
      <c r="A119" s="29" t="s">
        <v>27</v>
      </c>
      <c r="B119" s="28">
        <f>'тариф 20-19'!B31</f>
        <v>5080.2</v>
      </c>
      <c r="C119" s="28">
        <f>'тариф 20-19'!B31</f>
        <v>5080.2</v>
      </c>
      <c r="D119" s="28">
        <f>'тариф 20-19'!B31</f>
        <v>5080.2</v>
      </c>
      <c r="E119" s="54"/>
      <c r="F119" s="14"/>
    </row>
    <row r="120" spans="1:7" ht="15.75" x14ac:dyDescent="0.25">
      <c r="A120" s="40" t="s">
        <v>39</v>
      </c>
      <c r="B120" s="41">
        <f>B118/B119</f>
        <v>17.7287</v>
      </c>
      <c r="C120" s="41">
        <f>C118/C119/12</f>
        <v>17.7287</v>
      </c>
      <c r="D120" s="41">
        <f>D118/D119/6</f>
        <v>7.914200000000001</v>
      </c>
      <c r="E120" s="43"/>
      <c r="F120" s="19"/>
    </row>
    <row r="121" spans="1:7" ht="15.75" x14ac:dyDescent="0.25">
      <c r="A121" s="42"/>
      <c r="B121" s="49"/>
      <c r="C121" s="49"/>
      <c r="D121" s="49"/>
      <c r="E121" s="49"/>
      <c r="F121" s="19"/>
    </row>
    <row r="122" spans="1:7" ht="15.75" hidden="1" x14ac:dyDescent="0.25">
      <c r="A122" s="42"/>
      <c r="B122" s="49"/>
      <c r="C122" s="49"/>
      <c r="D122" s="49"/>
      <c r="E122" s="49"/>
      <c r="F122" s="19"/>
    </row>
    <row r="123" spans="1:7" ht="18.75" hidden="1" x14ac:dyDescent="0.3">
      <c r="A123" s="45" t="s">
        <v>48</v>
      </c>
      <c r="B123" s="1" t="s">
        <v>32</v>
      </c>
      <c r="C123" s="46" t="s">
        <v>49</v>
      </c>
      <c r="D123" s="46"/>
      <c r="E123" s="46"/>
      <c r="F123" s="1"/>
    </row>
    <row r="124" spans="1:7" ht="15.75" x14ac:dyDescent="0.25">
      <c r="A124" s="30"/>
      <c r="B124" s="48"/>
      <c r="C124" s="48"/>
      <c r="D124" s="48"/>
      <c r="E124" s="48"/>
    </row>
    <row r="125" spans="1:7" ht="15.75" x14ac:dyDescent="0.25">
      <c r="A125" s="13" t="s">
        <v>31</v>
      </c>
      <c r="B125" s="44" t="s">
        <v>46</v>
      </c>
      <c r="C125" s="44"/>
      <c r="D125" s="44" t="s">
        <v>33</v>
      </c>
      <c r="E125" s="44"/>
    </row>
    <row r="126" spans="1:7" ht="15.75" x14ac:dyDescent="0.25">
      <c r="A126" s="30"/>
      <c r="B126" s="48"/>
      <c r="C126" s="48"/>
      <c r="D126" s="48"/>
      <c r="E126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" sqref="B2"/>
    </sheetView>
  </sheetViews>
  <sheetFormatPr defaultRowHeight="15" x14ac:dyDescent="0.25"/>
  <cols>
    <col min="1" max="1" width="78.140625" customWidth="1"/>
    <col min="2" max="2" width="25" customWidth="1"/>
    <col min="3" max="3" width="16.140625" style="2" customWidth="1"/>
    <col min="4" max="4" width="25.140625" customWidth="1"/>
    <col min="5" max="5" width="15.140625" customWidth="1"/>
  </cols>
  <sheetData>
    <row r="1" spans="1:5" ht="25.5" customHeight="1" x14ac:dyDescent="0.25">
      <c r="A1" s="64" t="s">
        <v>82</v>
      </c>
      <c r="B1" s="65"/>
      <c r="C1" s="66"/>
    </row>
    <row r="2" spans="1:5" ht="30" customHeight="1" x14ac:dyDescent="0.25">
      <c r="A2" s="59" t="s">
        <v>1</v>
      </c>
      <c r="B2" s="58" t="str">
        <f>'ТХ МКД'!B2</f>
        <v>Тимирязева, 27 /2/3/4/5/6</v>
      </c>
      <c r="C2" s="58"/>
      <c r="D2" s="58" t="str">
        <f>'ТХ МКД'!B2</f>
        <v>Тимирязева, 27 /2/3/4/5/6</v>
      </c>
      <c r="E2" s="77"/>
    </row>
    <row r="3" spans="1:5" ht="18" customHeight="1" x14ac:dyDescent="0.25">
      <c r="A3" s="3"/>
      <c r="B3" s="4">
        <v>2020</v>
      </c>
      <c r="C3" s="4"/>
      <c r="D3" s="4">
        <v>2019</v>
      </c>
      <c r="E3" s="77"/>
    </row>
    <row r="4" spans="1:5" ht="17.25" customHeight="1" x14ac:dyDescent="0.25">
      <c r="A4" s="5" t="s">
        <v>30</v>
      </c>
      <c r="B4" s="60" t="s">
        <v>29</v>
      </c>
      <c r="C4" s="61" t="s">
        <v>34</v>
      </c>
      <c r="D4" s="78" t="s">
        <v>29</v>
      </c>
      <c r="E4" s="78" t="s">
        <v>34</v>
      </c>
    </row>
    <row r="5" spans="1:5" ht="16.5" customHeight="1" x14ac:dyDescent="0.25">
      <c r="A5" s="6" t="s">
        <v>2</v>
      </c>
      <c r="B5" s="7">
        <f>SUM(B6:B10)</f>
        <v>0.58560000000000001</v>
      </c>
      <c r="C5" s="62">
        <f>SUM(C6:C10)</f>
        <v>2974.9651199999994</v>
      </c>
      <c r="D5" s="76">
        <f>SUM(D6:D10)</f>
        <v>0.58560000000000001</v>
      </c>
      <c r="E5" s="81">
        <f>SUM(E6:E10)</f>
        <v>2974.9651199999994</v>
      </c>
    </row>
    <row r="6" spans="1:5" ht="39" customHeight="1" x14ac:dyDescent="0.25">
      <c r="A6" s="8" t="s">
        <v>3</v>
      </c>
      <c r="B6" s="9">
        <v>4.8800000000000003E-2</v>
      </c>
      <c r="C6" s="35">
        <f>B6*$B$31</f>
        <v>247.91376</v>
      </c>
      <c r="D6" s="9">
        <v>4.8800000000000003E-2</v>
      </c>
      <c r="E6" s="80">
        <f>D6*$D$31</f>
        <v>247.91376</v>
      </c>
    </row>
    <row r="7" spans="1:5" ht="15.75" customHeight="1" x14ac:dyDescent="0.25">
      <c r="A7" s="10" t="s">
        <v>4</v>
      </c>
      <c r="B7" s="9">
        <v>0.2379</v>
      </c>
      <c r="C7" s="35">
        <f t="shared" ref="C7:C29" si="0">B7*$B$31</f>
        <v>1208.5795799999999</v>
      </c>
      <c r="D7" s="9">
        <v>0.2379</v>
      </c>
      <c r="E7" s="80">
        <f t="shared" ref="E7:E10" si="1">D7*$D$31</f>
        <v>1208.5795799999999</v>
      </c>
    </row>
    <row r="8" spans="1:5" ht="27" customHeight="1" x14ac:dyDescent="0.25">
      <c r="A8" s="8" t="s">
        <v>5</v>
      </c>
      <c r="B8" s="9">
        <v>2.2800000000000001E-2</v>
      </c>
      <c r="C8" s="35">
        <f>B8*$B$31</f>
        <v>115.82856</v>
      </c>
      <c r="D8" s="9">
        <v>2.2800000000000001E-2</v>
      </c>
      <c r="E8" s="80">
        <f t="shared" si="1"/>
        <v>115.82856</v>
      </c>
    </row>
    <row r="9" spans="1:5" ht="15.75" x14ac:dyDescent="0.25">
      <c r="A9" s="10" t="s">
        <v>6</v>
      </c>
      <c r="B9" s="9">
        <v>9.3100000000000002E-2</v>
      </c>
      <c r="C9" s="35">
        <f t="shared" si="0"/>
        <v>472.96661999999998</v>
      </c>
      <c r="D9" s="9">
        <v>9.3100000000000002E-2</v>
      </c>
      <c r="E9" s="80">
        <f t="shared" si="1"/>
        <v>472.96661999999998</v>
      </c>
    </row>
    <row r="10" spans="1:5" ht="15.75" x14ac:dyDescent="0.25">
      <c r="A10" s="10" t="s">
        <v>7</v>
      </c>
      <c r="B10" s="9">
        <v>0.183</v>
      </c>
      <c r="C10" s="35">
        <f t="shared" si="0"/>
        <v>929.67659999999989</v>
      </c>
      <c r="D10" s="9">
        <v>0.183</v>
      </c>
      <c r="E10" s="80">
        <f t="shared" si="1"/>
        <v>929.67659999999989</v>
      </c>
    </row>
    <row r="11" spans="1:5" s="1" customFormat="1" ht="15.75" hidden="1" x14ac:dyDescent="0.25">
      <c r="A11" s="10"/>
      <c r="B11" s="9"/>
      <c r="C11" s="53">
        <f t="shared" si="0"/>
        <v>0</v>
      </c>
      <c r="D11" s="9">
        <v>0</v>
      </c>
    </row>
    <row r="12" spans="1:5" ht="15.75" x14ac:dyDescent="0.25">
      <c r="A12" s="6" t="s">
        <v>8</v>
      </c>
      <c r="B12" s="75">
        <f>SUM(B13:B20)</f>
        <v>8.5845000000000002</v>
      </c>
      <c r="C12" s="62">
        <f>SUM(C13:C20)</f>
        <v>43610.976900000001</v>
      </c>
      <c r="D12" s="75">
        <f t="shared" ref="D12:E12" si="2">SUM(D13:D20)</f>
        <v>8.4267000000000003</v>
      </c>
      <c r="E12" s="62">
        <f t="shared" si="2"/>
        <v>42809.321339999995</v>
      </c>
    </row>
    <row r="13" spans="1:5" ht="15.75" x14ac:dyDescent="0.25">
      <c r="A13" s="10" t="s">
        <v>9</v>
      </c>
      <c r="B13" s="9">
        <v>0.8931</v>
      </c>
      <c r="C13" s="35">
        <f t="shared" si="0"/>
        <v>4537.12662</v>
      </c>
      <c r="D13" s="9">
        <v>0.8931</v>
      </c>
      <c r="E13" s="80">
        <f>D13*$D$31</f>
        <v>4537.12662</v>
      </c>
    </row>
    <row r="14" spans="1:5" ht="15.75" x14ac:dyDescent="0.25">
      <c r="A14" s="10" t="s">
        <v>10</v>
      </c>
      <c r="B14" s="9">
        <v>0.1774</v>
      </c>
      <c r="C14" s="35">
        <f t="shared" si="0"/>
        <v>901.22748000000001</v>
      </c>
      <c r="D14" s="9">
        <v>0.1774</v>
      </c>
      <c r="E14" s="80">
        <f t="shared" ref="E14:E20" si="3">D14*$D$31</f>
        <v>901.22748000000001</v>
      </c>
    </row>
    <row r="15" spans="1:5" ht="15.75" x14ac:dyDescent="0.25">
      <c r="A15" s="10" t="s">
        <v>11</v>
      </c>
      <c r="B15" s="9">
        <v>0.25219999999999998</v>
      </c>
      <c r="C15" s="35">
        <f t="shared" si="0"/>
        <v>1281.2264399999999</v>
      </c>
      <c r="D15" s="9">
        <v>0.25219999999999998</v>
      </c>
      <c r="E15" s="80">
        <f t="shared" si="3"/>
        <v>1281.2264399999999</v>
      </c>
    </row>
    <row r="16" spans="1:5" ht="15.75" x14ac:dyDescent="0.25">
      <c r="A16" s="11" t="s">
        <v>12</v>
      </c>
      <c r="B16" s="9">
        <v>6.7299999999999999E-2</v>
      </c>
      <c r="C16" s="35">
        <f t="shared" si="0"/>
        <v>341.89745999999997</v>
      </c>
      <c r="D16" s="9">
        <v>6.7299999999999999E-2</v>
      </c>
      <c r="E16" s="80">
        <f t="shared" si="3"/>
        <v>341.89745999999997</v>
      </c>
    </row>
    <row r="17" spans="1:5" ht="15.75" x14ac:dyDescent="0.25">
      <c r="A17" s="10" t="s">
        <v>13</v>
      </c>
      <c r="B17" s="9">
        <v>5.1142000000000003</v>
      </c>
      <c r="C17" s="35">
        <f t="shared" si="0"/>
        <v>25981.15884</v>
      </c>
      <c r="D17" s="9">
        <v>5.1142000000000003</v>
      </c>
      <c r="E17" s="80">
        <f t="shared" si="3"/>
        <v>25981.15884</v>
      </c>
    </row>
    <row r="18" spans="1:5" ht="15.75" x14ac:dyDescent="0.25">
      <c r="A18" s="10" t="s">
        <v>14</v>
      </c>
      <c r="B18" s="9">
        <v>0</v>
      </c>
      <c r="C18" s="35">
        <f t="shared" si="0"/>
        <v>0</v>
      </c>
      <c r="D18" s="9">
        <v>0</v>
      </c>
      <c r="E18" s="80">
        <f t="shared" si="3"/>
        <v>0</v>
      </c>
    </row>
    <row r="19" spans="1:5" ht="15.75" x14ac:dyDescent="0.25">
      <c r="A19" s="10" t="s">
        <v>15</v>
      </c>
      <c r="B19" s="9">
        <v>1.6191</v>
      </c>
      <c r="C19" s="35">
        <f t="shared" si="0"/>
        <v>8225.3518199999999</v>
      </c>
      <c r="D19" s="9">
        <v>1.4613</v>
      </c>
      <c r="E19" s="80">
        <f t="shared" si="3"/>
        <v>7423.6962599999997</v>
      </c>
    </row>
    <row r="20" spans="1:5" ht="15.75" x14ac:dyDescent="0.25">
      <c r="A20" s="11" t="s">
        <v>16</v>
      </c>
      <c r="B20" s="9">
        <v>0.4612</v>
      </c>
      <c r="C20" s="35">
        <f t="shared" si="0"/>
        <v>2342.9882400000001</v>
      </c>
      <c r="D20" s="9">
        <v>0.4612</v>
      </c>
      <c r="E20" s="80">
        <f t="shared" si="3"/>
        <v>2342.9882400000001</v>
      </c>
    </row>
    <row r="21" spans="1:5" ht="28.5" x14ac:dyDescent="0.25">
      <c r="A21" s="6" t="s">
        <v>17</v>
      </c>
      <c r="B21" s="7">
        <f>SUM(B22:B27)</f>
        <v>4.2512000000000008</v>
      </c>
      <c r="C21" s="62">
        <f>SUM(C22:C27)</f>
        <v>21596.946239999997</v>
      </c>
      <c r="D21" s="75">
        <f t="shared" ref="D21:E21" si="4">SUM(D22:D27)</f>
        <v>4.2512000000000008</v>
      </c>
      <c r="E21" s="62">
        <f t="shared" si="4"/>
        <v>21596.946239999997</v>
      </c>
    </row>
    <row r="22" spans="1:5" ht="15.75" x14ac:dyDescent="0.25">
      <c r="A22" s="10" t="s">
        <v>18</v>
      </c>
      <c r="B22" s="9">
        <v>0</v>
      </c>
      <c r="C22" s="35">
        <f t="shared" si="0"/>
        <v>0</v>
      </c>
      <c r="D22" s="9">
        <v>0</v>
      </c>
      <c r="E22" s="80">
        <f>D22*$D$31</f>
        <v>0</v>
      </c>
    </row>
    <row r="23" spans="1:5" ht="15.75" x14ac:dyDescent="0.25">
      <c r="A23" s="10" t="s">
        <v>19</v>
      </c>
      <c r="B23" s="9">
        <v>1.3103</v>
      </c>
      <c r="C23" s="35">
        <f t="shared" si="0"/>
        <v>6656.5860599999996</v>
      </c>
      <c r="D23" s="9">
        <v>1.3103</v>
      </c>
      <c r="E23" s="80">
        <f t="shared" ref="E23:E29" si="5">D23*$D$31</f>
        <v>6656.5860599999996</v>
      </c>
    </row>
    <row r="24" spans="1:5" ht="15.75" x14ac:dyDescent="0.25">
      <c r="A24" s="10" t="s">
        <v>20</v>
      </c>
      <c r="B24" s="9">
        <v>0</v>
      </c>
      <c r="C24" s="35">
        <f t="shared" si="0"/>
        <v>0</v>
      </c>
      <c r="D24" s="9">
        <v>0</v>
      </c>
      <c r="E24" s="80">
        <f t="shared" si="5"/>
        <v>0</v>
      </c>
    </row>
    <row r="25" spans="1:5" ht="15.75" x14ac:dyDescent="0.25">
      <c r="A25" s="10" t="s">
        <v>21</v>
      </c>
      <c r="B25" s="9">
        <v>1.3116000000000001</v>
      </c>
      <c r="C25" s="35">
        <f t="shared" si="0"/>
        <v>6663.1903200000006</v>
      </c>
      <c r="D25" s="9">
        <v>1.3116000000000001</v>
      </c>
      <c r="E25" s="80">
        <f t="shared" si="5"/>
        <v>6663.1903200000006</v>
      </c>
    </row>
    <row r="26" spans="1:5" ht="15.75" x14ac:dyDescent="0.25">
      <c r="A26" s="10" t="s">
        <v>22</v>
      </c>
      <c r="B26" s="9">
        <v>0.36940000000000001</v>
      </c>
      <c r="C26" s="35">
        <f t="shared" si="0"/>
        <v>1876.6258800000001</v>
      </c>
      <c r="D26" s="9">
        <v>0.36940000000000001</v>
      </c>
      <c r="E26" s="80">
        <f t="shared" si="5"/>
        <v>1876.6258800000001</v>
      </c>
    </row>
    <row r="27" spans="1:5" ht="15.75" x14ac:dyDescent="0.25">
      <c r="A27" s="10" t="s">
        <v>23</v>
      </c>
      <c r="B27" s="9">
        <v>1.2599</v>
      </c>
      <c r="C27" s="35">
        <f t="shared" si="0"/>
        <v>6400.5439799999995</v>
      </c>
      <c r="D27" s="9">
        <v>1.2599</v>
      </c>
      <c r="E27" s="80">
        <f t="shared" si="5"/>
        <v>6400.5439799999995</v>
      </c>
    </row>
    <row r="28" spans="1:5" ht="15.75" x14ac:dyDescent="0.25">
      <c r="A28" s="6" t="s">
        <v>24</v>
      </c>
      <c r="B28" s="9">
        <v>1.1619999999999999</v>
      </c>
      <c r="C28" s="35">
        <f>B28*$B$31</f>
        <v>5903.192399999999</v>
      </c>
      <c r="D28" s="9">
        <v>1.1619999999999999</v>
      </c>
      <c r="E28" s="80">
        <f t="shared" si="5"/>
        <v>5903.192399999999</v>
      </c>
    </row>
    <row r="29" spans="1:5" ht="15.75" x14ac:dyDescent="0.25">
      <c r="A29" s="6" t="s">
        <v>25</v>
      </c>
      <c r="B29" s="9">
        <v>3.3031999999999999</v>
      </c>
      <c r="C29" s="35">
        <f t="shared" si="0"/>
        <v>16780.916639999999</v>
      </c>
      <c r="D29" s="9">
        <v>3.3031999999999999</v>
      </c>
      <c r="E29" s="80">
        <f t="shared" si="5"/>
        <v>16780.916639999999</v>
      </c>
    </row>
    <row r="30" spans="1:5" ht="15.75" x14ac:dyDescent="0.25">
      <c r="A30" s="67" t="s">
        <v>26</v>
      </c>
      <c r="B30" s="12">
        <f>B29+B28+B27+B26+B25+B24+B23+B22+B20+B19+B18+B17+B16+B15+B14+B13+B10+B9+B8+B7+B6</f>
        <v>17.886499999999998</v>
      </c>
      <c r="C30" s="63">
        <f>C29+C28+C27+C26+C25+C24+C23+C22+C20+C19+C18+C17+C16+C15+C14+C13+C10+C9+C8+C7+C6</f>
        <v>90866.997300000003</v>
      </c>
      <c r="D30" s="79">
        <f t="shared" ref="D30:E30" si="6">D29+D28+D27+D26+D25+D24+D23+D22+D20+D19+D18+D17+D16+D15+D14+D13+D10+D9+D8+D7+D6</f>
        <v>17.728699999999996</v>
      </c>
      <c r="E30" s="63">
        <f t="shared" si="6"/>
        <v>90065.341739999989</v>
      </c>
    </row>
    <row r="31" spans="1:5" ht="15.75" x14ac:dyDescent="0.25">
      <c r="A31" s="6" t="s">
        <v>27</v>
      </c>
      <c r="B31" s="74">
        <f>'ТХ МКД'!B8</f>
        <v>5080.2</v>
      </c>
      <c r="C31" s="74"/>
      <c r="D31" s="74">
        <f>'ТХ МКД'!B8</f>
        <v>5080.2</v>
      </c>
    </row>
    <row r="32" spans="1:5" ht="15.75" x14ac:dyDescent="0.25">
      <c r="A32" s="6" t="s">
        <v>28</v>
      </c>
      <c r="B32" s="35">
        <f>B30*B31</f>
        <v>90866.997299999988</v>
      </c>
      <c r="C32" s="35"/>
      <c r="D32" s="35">
        <f t="shared" ref="D32" si="7">D30*D31</f>
        <v>90065.341739999974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H29" sqref="H29"/>
    </sheetView>
  </sheetViews>
  <sheetFormatPr defaultRowHeight="15" x14ac:dyDescent="0.25"/>
  <cols>
    <col min="1" max="1" width="56.85546875" customWidth="1"/>
    <col min="2" max="2" width="27.140625" customWidth="1"/>
    <col min="4" max="4" width="30.42578125" customWidth="1"/>
  </cols>
  <sheetData>
    <row r="1" spans="1:4" ht="18" customHeight="1" x14ac:dyDescent="0.25">
      <c r="A1" s="1"/>
    </row>
    <row r="2" spans="1:4" ht="29.25" customHeight="1" x14ac:dyDescent="0.25">
      <c r="A2" s="85" t="s">
        <v>1</v>
      </c>
      <c r="B2" s="97" t="s">
        <v>152</v>
      </c>
      <c r="D2" s="116" t="s">
        <v>152</v>
      </c>
    </row>
    <row r="3" spans="1:4" ht="15.75" customHeight="1" x14ac:dyDescent="0.25">
      <c r="A3" s="86" t="s">
        <v>94</v>
      </c>
      <c r="B3" s="96">
        <v>181</v>
      </c>
      <c r="D3" s="110">
        <v>173</v>
      </c>
    </row>
    <row r="4" spans="1:4" ht="15.75" customHeight="1" x14ac:dyDescent="0.25">
      <c r="A4" s="87" t="s">
        <v>95</v>
      </c>
      <c r="B4" s="133">
        <v>2020</v>
      </c>
      <c r="D4" s="132">
        <v>2021</v>
      </c>
    </row>
    <row r="5" spans="1:4" ht="15.75" customHeight="1" x14ac:dyDescent="0.25">
      <c r="A5" s="87" t="s">
        <v>96</v>
      </c>
      <c r="B5" s="96">
        <v>1992</v>
      </c>
      <c r="D5" s="111">
        <v>1992</v>
      </c>
    </row>
    <row r="6" spans="1:4" ht="15.75" customHeight="1" x14ac:dyDescent="0.25">
      <c r="A6" s="87" t="s">
        <v>97</v>
      </c>
      <c r="B6" s="96">
        <v>28</v>
      </c>
      <c r="D6" s="112">
        <f t="shared" ref="D6" si="0">D4-D5</f>
        <v>29</v>
      </c>
    </row>
    <row r="7" spans="1:4" ht="15.75" customHeight="1" x14ac:dyDescent="0.25">
      <c r="A7" s="87" t="s">
        <v>98</v>
      </c>
      <c r="B7" s="96">
        <v>5448.8</v>
      </c>
      <c r="D7" s="113">
        <v>5448.8</v>
      </c>
    </row>
    <row r="8" spans="1:4" ht="15.75" customHeight="1" x14ac:dyDescent="0.25">
      <c r="A8" s="87" t="s">
        <v>99</v>
      </c>
      <c r="B8" s="96">
        <v>5080.2</v>
      </c>
      <c r="D8" s="134">
        <v>5151</v>
      </c>
    </row>
    <row r="9" spans="1:4" ht="15.75" customHeight="1" x14ac:dyDescent="0.25">
      <c r="A9" s="87" t="s">
        <v>100</v>
      </c>
      <c r="B9" s="96" t="s">
        <v>132</v>
      </c>
      <c r="D9" s="113" t="s">
        <v>132</v>
      </c>
    </row>
    <row r="10" spans="1:4" ht="15.75" customHeight="1" x14ac:dyDescent="0.25">
      <c r="A10" s="87" t="s">
        <v>101</v>
      </c>
      <c r="B10" s="96">
        <v>5080.2</v>
      </c>
      <c r="D10" s="134">
        <f t="shared" ref="D10" si="1">IF(D9&gt;0,D8,0)</f>
        <v>5151</v>
      </c>
    </row>
    <row r="11" spans="1:4" ht="15.75" customHeight="1" x14ac:dyDescent="0.25">
      <c r="A11" s="87" t="s">
        <v>102</v>
      </c>
      <c r="B11" s="96">
        <v>9</v>
      </c>
      <c r="D11" s="113">
        <v>9</v>
      </c>
    </row>
    <row r="12" spans="1:4" ht="15.75" customHeight="1" x14ac:dyDescent="0.25">
      <c r="A12" s="87" t="s">
        <v>103</v>
      </c>
      <c r="B12" s="96">
        <v>95</v>
      </c>
      <c r="D12" s="113">
        <v>95</v>
      </c>
    </row>
    <row r="13" spans="1:4" ht="15.75" customHeight="1" x14ac:dyDescent="0.25">
      <c r="A13" s="87" t="s">
        <v>104</v>
      </c>
      <c r="B13" s="96">
        <v>95</v>
      </c>
      <c r="D13" s="113">
        <f t="shared" ref="D13" si="2">IF(AND(D14+D15=D16+D17,D14+D15=D12),D12,"ОШИБКА")</f>
        <v>95</v>
      </c>
    </row>
    <row r="14" spans="1:4" ht="15.75" customHeight="1" x14ac:dyDescent="0.25">
      <c r="A14" s="88" t="s">
        <v>105</v>
      </c>
      <c r="B14" s="96">
        <v>95</v>
      </c>
      <c r="D14" s="113">
        <v>95</v>
      </c>
    </row>
    <row r="15" spans="1:4" ht="15.75" customHeight="1" x14ac:dyDescent="0.25">
      <c r="A15" s="88" t="s">
        <v>106</v>
      </c>
      <c r="B15" s="96">
        <v>0</v>
      </c>
      <c r="D15" s="113">
        <v>0</v>
      </c>
    </row>
    <row r="16" spans="1:4" ht="15.75" customHeight="1" x14ac:dyDescent="0.25">
      <c r="A16" s="88" t="s">
        <v>107</v>
      </c>
      <c r="B16" s="96">
        <v>95</v>
      </c>
      <c r="D16" s="113">
        <v>95</v>
      </c>
    </row>
    <row r="17" spans="1:4" ht="15.75" customHeight="1" x14ac:dyDescent="0.25">
      <c r="A17" s="88" t="s">
        <v>108</v>
      </c>
      <c r="B17" s="96">
        <v>0</v>
      </c>
      <c r="D17" s="113">
        <v>0</v>
      </c>
    </row>
    <row r="18" spans="1:4" ht="15.75" customHeight="1" x14ac:dyDescent="0.25">
      <c r="A18" s="87" t="s">
        <v>109</v>
      </c>
      <c r="B18" s="96">
        <v>218</v>
      </c>
      <c r="D18" s="113">
        <v>218</v>
      </c>
    </row>
    <row r="19" spans="1:4" ht="15.75" customHeight="1" x14ac:dyDescent="0.25">
      <c r="A19" s="87" t="s">
        <v>110</v>
      </c>
      <c r="B19" s="96">
        <v>1242.4000000000001</v>
      </c>
      <c r="D19" s="114">
        <f t="shared" ref="D19" si="3">SUM(D20:D22)</f>
        <v>1242.4000000000001</v>
      </c>
    </row>
    <row r="20" spans="1:4" ht="15.75" customHeight="1" x14ac:dyDescent="0.25">
      <c r="A20" s="89" t="s">
        <v>111</v>
      </c>
      <c r="B20" s="96">
        <v>0</v>
      </c>
      <c r="D20" s="113">
        <v>0</v>
      </c>
    </row>
    <row r="21" spans="1:4" ht="15.75" customHeight="1" x14ac:dyDescent="0.25">
      <c r="A21" s="89" t="s">
        <v>112</v>
      </c>
      <c r="B21" s="96">
        <v>1242.4000000000001</v>
      </c>
      <c r="D21" s="113">
        <v>1242.4000000000001</v>
      </c>
    </row>
    <row r="22" spans="1:4" ht="15.75" customHeight="1" x14ac:dyDescent="0.25">
      <c r="A22" s="89" t="s">
        <v>113</v>
      </c>
      <c r="B22" s="96">
        <v>0</v>
      </c>
      <c r="D22" s="113">
        <v>0</v>
      </c>
    </row>
    <row r="23" spans="1:4" ht="15.75" customHeight="1" x14ac:dyDescent="0.25">
      <c r="A23" s="87" t="s">
        <v>114</v>
      </c>
      <c r="B23" s="96">
        <v>5448.8</v>
      </c>
      <c r="D23" s="114">
        <f t="shared" ref="D23" si="4">SUM(D24:D26)</f>
        <v>5448.8</v>
      </c>
    </row>
    <row r="24" spans="1:4" ht="15.75" customHeight="1" x14ac:dyDescent="0.25">
      <c r="A24" s="89" t="s">
        <v>115</v>
      </c>
      <c r="B24" s="96">
        <v>0</v>
      </c>
      <c r="D24" s="113">
        <v>0</v>
      </c>
    </row>
    <row r="25" spans="1:4" ht="15.75" customHeight="1" x14ac:dyDescent="0.25">
      <c r="A25" s="90" t="s">
        <v>116</v>
      </c>
      <c r="B25" s="96">
        <v>5448.8</v>
      </c>
      <c r="D25" s="113">
        <f t="shared" ref="D25" si="5">D7</f>
        <v>5448.8</v>
      </c>
    </row>
    <row r="26" spans="1:4" ht="15.75" customHeight="1" x14ac:dyDescent="0.25">
      <c r="A26" s="91" t="s">
        <v>117</v>
      </c>
      <c r="B26" s="96">
        <v>0</v>
      </c>
      <c r="D26" s="111">
        <v>0</v>
      </c>
    </row>
    <row r="27" spans="1:4" ht="15.75" customHeight="1" x14ac:dyDescent="0.25">
      <c r="A27" s="87" t="s">
        <v>118</v>
      </c>
      <c r="B27" s="96">
        <v>1060.8</v>
      </c>
      <c r="D27" s="111">
        <v>1060.8</v>
      </c>
    </row>
    <row r="28" spans="1:4" ht="15.75" customHeight="1" x14ac:dyDescent="0.25">
      <c r="A28" s="87" t="s">
        <v>119</v>
      </c>
      <c r="B28" s="96">
        <v>268.60000000000002</v>
      </c>
      <c r="D28" s="113">
        <v>268.60000000000002</v>
      </c>
    </row>
    <row r="29" spans="1:4" ht="15.75" customHeight="1" x14ac:dyDescent="0.25">
      <c r="A29" s="92" t="s">
        <v>120</v>
      </c>
      <c r="B29" s="96">
        <f>SUM(B30:B32)</f>
        <v>2031.7</v>
      </c>
      <c r="D29" s="135">
        <f t="shared" ref="D29" si="6">SUM(D30:D32)</f>
        <v>2438</v>
      </c>
    </row>
    <row r="30" spans="1:4" ht="15.75" customHeight="1" x14ac:dyDescent="0.25">
      <c r="A30" s="88" t="s">
        <v>121</v>
      </c>
      <c r="B30" s="96">
        <v>2031.7</v>
      </c>
      <c r="C30">
        <v>2438</v>
      </c>
      <c r="D30" s="134">
        <v>2438</v>
      </c>
    </row>
    <row r="31" spans="1:4" ht="15.75" customHeight="1" x14ac:dyDescent="0.25">
      <c r="A31" s="88" t="s">
        <v>122</v>
      </c>
      <c r="B31" s="96">
        <v>0</v>
      </c>
      <c r="D31" s="113">
        <v>0</v>
      </c>
    </row>
    <row r="32" spans="1:4" ht="15.75" customHeight="1" x14ac:dyDescent="0.25">
      <c r="A32" s="88" t="s">
        <v>123</v>
      </c>
      <c r="B32" s="96">
        <v>0</v>
      </c>
      <c r="D32" s="113">
        <v>0</v>
      </c>
    </row>
    <row r="33" spans="1:4" ht="15.75" customHeight="1" x14ac:dyDescent="0.25">
      <c r="A33" s="87" t="s">
        <v>124</v>
      </c>
      <c r="B33" s="96">
        <v>5</v>
      </c>
      <c r="D33" s="113">
        <f t="shared" ref="D33" si="7">SUM(D34:D35)</f>
        <v>5</v>
      </c>
    </row>
    <row r="34" spans="1:4" ht="15.75" customHeight="1" x14ac:dyDescent="0.25">
      <c r="A34" s="93" t="s">
        <v>125</v>
      </c>
      <c r="B34" s="96">
        <v>5</v>
      </c>
      <c r="D34" s="113">
        <v>5</v>
      </c>
    </row>
    <row r="35" spans="1:4" ht="15.75" customHeight="1" x14ac:dyDescent="0.25">
      <c r="A35" s="93" t="s">
        <v>126</v>
      </c>
      <c r="B35" s="96">
        <v>0</v>
      </c>
      <c r="D35" s="113">
        <v>0</v>
      </c>
    </row>
    <row r="36" spans="1:4" ht="15.75" customHeight="1" x14ac:dyDescent="0.25">
      <c r="A36" s="92" t="s">
        <v>127</v>
      </c>
      <c r="B36" s="96">
        <v>5</v>
      </c>
      <c r="D36" s="115">
        <v>5</v>
      </c>
    </row>
    <row r="37" spans="1:4" ht="15.75" customHeight="1" x14ac:dyDescent="0.25">
      <c r="A37" s="92" t="s">
        <v>128</v>
      </c>
      <c r="B37" s="96">
        <v>2</v>
      </c>
      <c r="D37" s="113">
        <v>2</v>
      </c>
    </row>
    <row r="38" spans="1:4" ht="15.75" x14ac:dyDescent="0.25">
      <c r="A38" s="94" t="s">
        <v>129</v>
      </c>
      <c r="B38" s="98"/>
    </row>
    <row r="39" spans="1:4" ht="15.75" x14ac:dyDescent="0.25">
      <c r="A39" s="95" t="s">
        <v>130</v>
      </c>
      <c r="B39" s="99"/>
      <c r="C39" s="1"/>
    </row>
    <row r="40" spans="1:4" ht="15.75" x14ac:dyDescent="0.25">
      <c r="A40" s="95" t="s">
        <v>131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калькуляция 2021</vt:lpstr>
      <vt:lpstr>калькуляция 01.10.21-31.12.21</vt:lpstr>
      <vt:lpstr>тариф с 01.01.2021</vt:lpstr>
      <vt:lpstr>калькуляция 01.01.21-30.09.21</vt:lpstr>
      <vt:lpstr>калькуляция 2020 </vt:lpstr>
      <vt:lpstr>калькуляция 2019</vt:lpstr>
      <vt:lpstr>тариф 20-19</vt:lpstr>
      <vt:lpstr>ТХ МКД</vt:lpstr>
      <vt:lpstr>'калькуляция 01.01.21-30.09.21'!Область_печати</vt:lpstr>
      <vt:lpstr>'калькуляция 01.10.21-31.12.21'!Область_печати</vt:lpstr>
      <vt:lpstr>'калькуляция 2019'!Область_печати</vt:lpstr>
      <vt:lpstr>'калькуляция 2020 '!Область_печати</vt:lpstr>
      <vt:lpstr>'калькуляция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Masha</cp:lastModifiedBy>
  <cp:lastPrinted>2022-03-30T06:31:38Z</cp:lastPrinted>
  <dcterms:created xsi:type="dcterms:W3CDTF">2018-03-30T11:45:59Z</dcterms:created>
  <dcterms:modified xsi:type="dcterms:W3CDTF">2022-03-30T06:31:42Z</dcterms:modified>
</cp:coreProperties>
</file>